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r:id="rId22"/>
    <sheet name="ХВС. Т-тех" sheetId="22"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Т-пит'!$326:$327</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Т-тех'!$58:$59</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Т-подвоз'!$58:$59</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Т-пит'!$328:$329</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Т-тех'!$60:$61</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Т-подвоз'!$60:$61</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тарифов'!$79:$157</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тарифов'!$159:$173</definedName>
    <definedName name="BLOCK_PT_VOTV">'Перечень тарифов'!$175:$189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территорий'!$E$57:$I$57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тарифов'!$Z$12:$Z$191</definedName>
    <definedName name="DIFFERENTIATION_TARIFF_VD_ID">'Перечень тарифов'!$AB$12:$AB$191</definedName>
    <definedName name="DIFFERENTIATION_TARIFF_VTAR_ID">'Перечень тарифов'!$AA$12:$AA$191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территорий'!$C$12:$C$57</definedName>
    <definedName name="pDel_LT_MO">'Список территорий'!$D$11:$D$57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Т-пит'!$T$325</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Т-тех'!$T$57</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Т-подвоз'!$T$57</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Т-пит'!$CU$37</definedName>
    <definedName name="pIns_ver_COLDVSNA_TARIFF_B_COLDVSNA">'ХВС. Т-тех'!$CU$37</definedName>
    <definedName name="pIns_ver_COLDVSNA_TARIFF_C_COLDVSNA">'ХВС. Т-транс'!$AJ$37</definedName>
    <definedName name="pIns_ver_COLDVSNA_TARIFF_D_COLDVSNA">'ХВС. Т-подвоз'!$AQ$37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Т-тех'!$43:$54</definedName>
    <definedName name="pt_cs_11">'ХВС. Т-транс'!$43:$50</definedName>
    <definedName name="pt_cs_12">'ХВС. Т-подвоз'!$43:$54</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тарифов'!$AL$12:$AL$191</definedName>
    <definedName name="PT_DIFFERENTIATION_CS_ID">'Перечень тарифов'!$AF$12:$AF$191</definedName>
    <definedName name="PT_DIFFERENTIATION_IST_TE">'Перечень тарифов'!$AM$12:$AM$191</definedName>
    <definedName name="PT_DIFFERENTIATION_IST_TE_ID">'Перечень тарифов'!$AG$12:$AG$191</definedName>
    <definedName name="PT_DIFFERENTIATION_NTAR">'Перечень тарифов'!$AJ$12:$AJ$191</definedName>
    <definedName name="PT_DIFFERENTIATION_NTAR_ID">'Перечень тарифов'!$AD$12:$AD$191</definedName>
    <definedName name="PT_DIFFERENTIATION_NUM_CS">'Перечень тарифов'!$AP$12:$AP$191</definedName>
    <definedName name="PT_DIFFERENTIATION_NUM_IST_TE">'Перечень тарифов'!$AQ$12:$AQ$191</definedName>
    <definedName name="PT_DIFFERENTIATION_NUM_NTAR">'Перечень тарифов'!$AN$12:$AN$191</definedName>
    <definedName name="PT_DIFFERENTIATION_NUM_TER">'Перечень тарифов'!$AO$12:$AO$191</definedName>
    <definedName name="PT_DIFFERENTIATION_TER">'Перечень тарифов'!$AK$12:$AK$191</definedName>
    <definedName name="PT_DIFFERENTIATION_TER_ID">'Перечень тарифов'!$AE$12:$AE$191</definedName>
    <definedName name="PT_DIFFERENTIATION_VDET">'Перечень тарифов'!$AI$12:$AI$191</definedName>
    <definedName name="PT_DIFFERENTIATION_VTAR">'Перечень тарифов'!$AH$12:$AH$191</definedName>
    <definedName name="PT_DIFFERENTIATION_VTAR_ID">'Перечень тарифов'!$AC$12:$AC$191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Т-тех'!$41:$56</definedName>
    <definedName name="pt_ntar_11">'ХВС. Т-транс'!$41:$52</definedName>
    <definedName name="pt_ntar_12">'ХВС. Т-подвоз'!$41:$56</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Т-пит'!$41:$324</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Т-тех'!$42:$55</definedName>
    <definedName name="pt_ter_11">'ХВС. Т-транс'!$42:$51</definedName>
    <definedName name="pt_ter_12">'ХВС. Т-подвоз'!$42:$55</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тарифов'!$W$190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Т-пит'!$CU$326</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Т-тех'!$CU$58</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Т-подвоз'!$AQ$58</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территорий'!$E$11:$I$57</definedName>
    <definedName name="TERRITORY_ID">TEHSHEET!$E$56</definedName>
    <definedName name="TERRITORY_LIST_ID">'Список территорий'!$F$11:$F$57</definedName>
    <definedName name="TERRITORY_MO_LIST">'Список территорий'!$H$11:$H$57</definedName>
    <definedName name="TERRITORY_MR_LIST">'Список территорий'!$G$11:$G$57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REESTR_IP!$A$2:$I$25</definedName>
    <definedName name="VD_LIST">REESTR_VED!$A$2:$B$8</definedName>
    <definedName name="VD_ID_LIST">REESTR_VED!$A$2:$A$8</definedName>
    <definedName name="VD_NAME_LIST">REESTR_VED!$B$2:$B$8</definedName>
    <definedName name="et_B_FHD20_1">et_union_hor!$115:$123</definedName>
    <definedName name="pt_cs_30">'ХВС. Т-подвоз'!#REF!</definedName>
    <definedName name="pt_cs_31">'ХВС. Т-подвоз'!#REF!</definedName>
    <definedName name="pt_cs_32">'ХВС. Т-подвоз'!#REF!</definedName>
    <definedName name="pt_cs_33">'ХВС. Т-подвоз'!#REF!</definedName>
    <definedName name="pt_cs_34">'ХВС. Т-подвоз'!#REF!</definedName>
    <definedName name="ter_511111">'Список территорий'!$G$16:$I$16</definedName>
    <definedName name="ter_5111111">'Список территорий'!$G$19:$I$19</definedName>
    <definedName name="ter_51111111">'Список территорий'!$G$22:$I$22</definedName>
    <definedName name="ter_511111111">'Список территорий'!$G$25:$I$25</definedName>
    <definedName name="ter_5111111111">'Список территорий'!$G$28:$I$28</definedName>
    <definedName name="ter_51111111111">'Список территорий'!$G$31:$I$31</definedName>
    <definedName name="ter_511111111111">'Список территорий'!$G$34:$I$34</definedName>
    <definedName name="ter_5111111111111">'Список территорий'!$G$37:$I$37</definedName>
    <definedName name="ter_51111111111111">'Список территорий'!$G$40:$I$40</definedName>
    <definedName name="ter_511111111111111">'Список территорий'!$G$43:$I$43</definedName>
    <definedName name="ter_5111111111111111">'Список территорий'!$G$46:$I$46</definedName>
    <definedName name="ter_51111111111111111">'Список территорий'!$G$49:$I$49</definedName>
    <definedName name="ter_511111111111111111">'Список территорий'!$G$52:$I$52</definedName>
    <definedName name="ter_5111111111111111111">'Список территорий'!$G$55:$I$55</definedName>
    <definedName name="pt_ter_35">'ХВС. Т-пит'!$56:$69</definedName>
    <definedName name="pt_cs_35">'ХВС. Т-пит'!$57:$68</definedName>
    <definedName name="pt_ter_36">'ХВС. Т-пит'!$70:$83</definedName>
    <definedName name="pt_cs_36">'ХВС. Т-пит'!$71:$82</definedName>
    <definedName name="pt_ter_37">'ХВС. Т-пит'!$84:$97</definedName>
    <definedName name="pt_cs_37">'ХВС. Т-пит'!$85:$96</definedName>
    <definedName name="pt_ter_38">'ХВС. Т-пит'!$98:$159</definedName>
    <definedName name="pt_cs_38">'ХВС. Т-пит'!$99:$110</definedName>
    <definedName name="pt_cs_39">'ХВС. Т-пит'!$111:$122</definedName>
    <definedName name="pt_cs_40">'ХВС. Т-пит'!$123:$134</definedName>
    <definedName name="pt_cs_41">'ХВС. Т-пит'!$135:$146</definedName>
    <definedName name="pt_ter_39">'ХВС. Т-пит'!$160:$173</definedName>
    <definedName name="pt_cs_43">'ХВС. Т-пит'!$161:$172</definedName>
    <definedName name="pt_ter_40">'ХВС. Т-пит'!$174:$187</definedName>
    <definedName name="pt_cs_46">'ХВС. Т-пит'!$175:$186</definedName>
    <definedName name="pt_ter_41">'ХВС. Т-пит'!$188:$201</definedName>
    <definedName name="pt_cs_47">'ХВС. Т-пит'!$189:$200</definedName>
    <definedName name="pt_ter_42">'ХВС. Т-пит'!$202:$215</definedName>
    <definedName name="pt_cs_48">'ХВС. Т-пит'!$203:$214</definedName>
    <definedName name="pt_ter_43">'ХВС. Т-пит'!$216:$229</definedName>
    <definedName name="pt_cs_49">'ХВС. Т-пит'!$217:$228</definedName>
    <definedName name="pt_ter_44">'ХВС. Т-пит'!$230:$243</definedName>
    <definedName name="pt_cs_51">'ХВС. Т-пит'!$231:$242</definedName>
    <definedName name="pt_ter_45">'ХВС. Т-пит'!$244:$257</definedName>
    <definedName name="pt_cs_52">'ХВС. Т-пит'!$245:$256</definedName>
    <definedName name="pt_ter_46">'ХВС. Т-пит'!$258:$271</definedName>
    <definedName name="pt_cs_53">'ХВС. Т-пит'!$259:$270</definedName>
    <definedName name="pt_ter_47">'ХВС. Т-пит'!$272:$297</definedName>
    <definedName name="pt_cs_55">'ХВС. Т-пит'!$273:$284</definedName>
    <definedName name="pt_ter_48">'ХВС. Т-пит'!$298:$323</definedName>
    <definedName name="pt_cs_56">'ХВС. Т-пит'!$299:$310</definedName>
    <definedName name="pt_cs_57">'ХВС. Т-пит'!$285:$296</definedName>
    <definedName name="pt_cs_59">'ХВС. Т-пит'!$311:$322</definedName>
    <definedName name="pt_cs_60">'ХВС. Т-пит'!$147:$158</definedName>
    <definedName name="DESCRIPTION_TERRITORY">REESTR_DS!$B$2:$B$16</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<sst xmlns="http://schemas.openxmlformats.org/spreadsheetml/2006/main" count="17115" uniqueCount="3828">
  <si>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</si>
  <si>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</si>
  <si>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</si>
  <si>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</si>
  <si>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</si>
  <si>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</si>
  <si>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</si>
  <si>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</si>
  <si>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</si>
  <si>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</si>
  <si>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</si>
  <si>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</si>
  <si>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</si>
  <si>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</si>
  <si>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</si>
  <si>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</si>
  <si>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</si>
  <si>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</si>
  <si>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</si>
  <si>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</si>
  <si>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</si>
  <si>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</si>
  <si>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</si>
  <si>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</si>
  <si>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</si>
  <si>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</si>
  <si>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</si>
  <si>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</si>
  <si>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</si>
  <si>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</si>
  <si>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</si>
  <si>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</si>
  <si>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</si>
  <si>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</si>
  <si>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</si>
  <si>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</si>
  <si>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</si>
  <si>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</si>
  <si>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</si>
  <si>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</si>
  <si>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</si>
  <si>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71/10</t>
  </si>
  <si>
    <t>Наименование органа регулирования, принявшего решение об утверждении тарифов</t>
  </si>
  <si>
    <t>Агентство по тарифам Приморского края</t>
  </si>
  <si>
    <t>Источник официального опубликования решения</t>
  </si>
  <si>
    <t>http://pravo.gov.ru</t>
  </si>
  <si>
    <t>Открывается, если Тип отчёта "изменения в раскрытой ранее информации"</t>
  </si>
  <si>
    <t>53/9</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</si>
  <si>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</si>
  <si>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</si>
  <si>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</si>
  <si>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</si>
  <si>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</si>
  <si>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</si>
  <si>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</si>
  <si>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</si>
  <si>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</si>
  <si>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</si>
  <si>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</si>
  <si>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</si>
  <si>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</si>
  <si>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</si>
  <si>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</si>
  <si>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</si>
  <si>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</si>
  <si>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</si>
  <si>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</si>
  <si>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</si>
  <si>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</si>
  <si>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</si>
  <si>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</si>
  <si>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</si>
  <si>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</si>
  <si>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</si>
  <si>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</si>
  <si>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</si>
  <si>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</si>
  <si>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</si>
  <si>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</si>
  <si>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</si>
  <si>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</si>
  <si>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</si>
  <si>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</si>
  <si>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</si>
  <si>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</si>
  <si>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</si>
  <si>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</si>
  <si>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</si>
  <si>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</si>
  <si>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</si>
  <si>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</si>
  <si>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</si>
  <si>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</si>
  <si>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</si>
  <si>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</si>
  <si>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</si>
  <si>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</si>
  <si>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</si>
  <si>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</si>
  <si>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</si>
  <si>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</si>
  <si>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</si>
  <si>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Анучинский муниципальный округ</t>
  </si>
  <si>
    <t>05502000</t>
  </si>
  <si>
    <t>Добавить МО</t>
  </si>
  <si>
    <t>2</t>
  </si>
  <si>
    <t>×</t>
  </si>
  <si>
    <t>ter_511111</t>
  </si>
  <si>
    <t>28</t>
  </si>
  <si>
    <t>Красноармейский муниципальный район</t>
  </si>
  <si>
    <t>Глубинненское</t>
  </si>
  <si>
    <t>05614408</t>
  </si>
  <si>
    <t>ter_5111111</t>
  </si>
  <si>
    <t>44</t>
  </si>
  <si>
    <t>Михайловский муниципальный район</t>
  </si>
  <si>
    <t>Новошахтинское городское поселение</t>
  </si>
  <si>
    <t>05620154</t>
  </si>
  <si>
    <t>ter_51111111</t>
  </si>
  <si>
    <t>16</t>
  </si>
  <si>
    <t>Кавалеровский муниципальный округ</t>
  </si>
  <si>
    <t>05510000</t>
  </si>
  <si>
    <t>5</t>
  </si>
  <si>
    <t>ter_511111111</t>
  </si>
  <si>
    <t>78</t>
  </si>
  <si>
    <t>Хасанский муниципальный округ</t>
  </si>
  <si>
    <t>05548000</t>
  </si>
  <si>
    <t>ter_5111111111</t>
  </si>
  <si>
    <t>81</t>
  </si>
  <si>
    <t>Черниговский муниципальный район</t>
  </si>
  <si>
    <t>Дмитриевское сельское поселение</t>
  </si>
  <si>
    <t>05653410</t>
  </si>
  <si>
    <t>ter_51111111111</t>
  </si>
  <si>
    <t>83</t>
  </si>
  <si>
    <t>Реттиховское городское поселение</t>
  </si>
  <si>
    <t>05653422</t>
  </si>
  <si>
    <t>8</t>
  </si>
  <si>
    <t>ter_511111111111</t>
  </si>
  <si>
    <t>85</t>
  </si>
  <si>
    <t>Снегуровское</t>
  </si>
  <si>
    <t>05653419</t>
  </si>
  <si>
    <t>9</t>
  </si>
  <si>
    <t>ter_5111111111111</t>
  </si>
  <si>
    <t>87</t>
  </si>
  <si>
    <t>Черниговское сельское поселение</t>
  </si>
  <si>
    <t>05653425</t>
  </si>
  <si>
    <t>10</t>
  </si>
  <si>
    <t>ter_51111111111111</t>
  </si>
  <si>
    <t>92</t>
  </si>
  <si>
    <t>Шкотовский муниципальный район</t>
  </si>
  <si>
    <t>Романовское сельское поселение</t>
  </si>
  <si>
    <t>05657425</t>
  </si>
  <si>
    <t>11</t>
  </si>
  <si>
    <t>ter_511111111111111</t>
  </si>
  <si>
    <t>89</t>
  </si>
  <si>
    <t>Шкотовский муниципальный округ</t>
  </si>
  <si>
    <t>05557000</t>
  </si>
  <si>
    <t>12</t>
  </si>
  <si>
    <t>ter_5111111111111111</t>
  </si>
  <si>
    <t>Дальнегорский городской округ</t>
  </si>
  <si>
    <t>05707000</t>
  </si>
  <si>
    <t>13</t>
  </si>
  <si>
    <t>ter_51111111111111111</t>
  </si>
  <si>
    <t>Дальнереченский городской округ</t>
  </si>
  <si>
    <t>05708000</t>
  </si>
  <si>
    <t>14</t>
  </si>
  <si>
    <t>ter_511111111111111111</t>
  </si>
  <si>
    <t>Городской округ Спасск-Дальний</t>
  </si>
  <si>
    <t>05720000</t>
  </si>
  <si>
    <t>15</t>
  </si>
  <si>
    <t>ter_5111111111111111111</t>
  </si>
  <si>
    <t>106</t>
  </si>
  <si>
    <t>городской округ ЗАТО Фокино</t>
  </si>
  <si>
    <t>05747000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</si>
  <si>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</si>
  <si>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</si>
  <si>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</si>
  <si>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</si>
  <si>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</si>
  <si>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</si>
  <si>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</si>
  <si>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</si>
  <si>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</si>
  <si>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</si>
  <si>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</si>
  <si>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</si>
  <si>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</si>
  <si>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</si>
  <si>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</si>
  <si>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</si>
  <si>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</si>
  <si>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</si>
  <si>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</si>
  <si>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</si>
  <si>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</si>
  <si>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</si>
  <si>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</si>
  <si>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</si>
  <si>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</si>
  <si>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</si>
  <si>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</si>
  <si>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</si>
  <si>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</si>
  <si>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</si>
  <si>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</si>
  <si>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</si>
  <si>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</si>
  <si>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</si>
  <si>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</si>
  <si>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</si>
  <si>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</si>
  <si>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</si>
  <si>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</si>
  <si>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</si>
  <si>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</si>
  <si>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</si>
  <si>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</si>
  <si>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</si>
  <si>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</si>
  <si>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</si>
  <si>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</si>
  <si>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</si>
  <si>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</si>
  <si>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</si>
  <si>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</si>
  <si>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</si>
  <si>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</si>
  <si>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</si>
  <si>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</si>
  <si>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</si>
  <si>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</si>
  <si>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</si>
  <si>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</si>
  <si>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</si>
  <si>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</si>
  <si>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</si>
  <si>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</si>
  <si>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</si>
  <si>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</si>
  <si>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</si>
  <si>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</si>
  <si>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</si>
  <si>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</si>
  <si>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</si>
  <si>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</si>
  <si>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</si>
  <si>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</si>
  <si>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</si>
  <si>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</si>
  <si>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</si>
  <si>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</si>
  <si>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</si>
  <si>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</si>
  <si>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</si>
  <si>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</si>
  <si>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</si>
  <si>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</si>
  <si>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</si>
  <si>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</si>
  <si>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</si>
  <si>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</si>
  <si>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</si>
  <si>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</si>
  <si>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</si>
  <si>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</si>
  <si>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</si>
  <si>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</si>
  <si>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</si>
  <si>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</si>
  <si>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</si>
  <si>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</si>
  <si>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</si>
  <si>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</si>
  <si>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</si>
  <si>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</si>
  <si>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</si>
  <si>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</si>
  <si>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</si>
  <si>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</si>
  <si>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</si>
  <si>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</si>
  <si>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</si>
  <si>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</si>
  <si>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</si>
  <si>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 для потребителей КГУП "Примтеплоэнерго"</t>
  </si>
  <si>
    <t>с. Анучино, с. Новогордеевка</t>
  </si>
  <si>
    <t>"4189671"</t>
  </si>
  <si>
    <t>pIns_PT_VTAR_A_COLDVSNA</t>
  </si>
  <si>
    <t>pt_ntar_9</t>
  </si>
  <si>
    <t>pt_ter_9</t>
  </si>
  <si>
    <t>pt_cs_9</t>
  </si>
  <si>
    <t>Добавить централизованную систему для дифференциации</t>
  </si>
  <si>
    <t>с. Глубинное</t>
  </si>
  <si>
    <t>pt_ter_35</t>
  </si>
  <si>
    <t>pt_cs_35</t>
  </si>
  <si>
    <t>pt_ist_te_35</t>
  </si>
  <si>
    <t>пгт. Новошахтинский, с. Павловка</t>
  </si>
  <si>
    <t>pt_ter_36</t>
  </si>
  <si>
    <t>pt_cs_36</t>
  </si>
  <si>
    <t>pt_ist_te_36</t>
  </si>
  <si>
    <t>Кавалеровский МО</t>
  </si>
  <si>
    <t>pt_ter_37</t>
  </si>
  <si>
    <t>pt_cs_37</t>
  </si>
  <si>
    <t>pt_ist_te_37</t>
  </si>
  <si>
    <t>с. Барабаш, с. Занадворовка</t>
  </si>
  <si>
    <t>pt_ter_38</t>
  </si>
  <si>
    <t>pt_cs_38</t>
  </si>
  <si>
    <t>pt_ist_te_38</t>
  </si>
  <si>
    <t>пгт. Краскино</t>
  </si>
  <si>
    <t>pt_cs_39</t>
  </si>
  <si>
    <t>pt_ist_te_39</t>
  </si>
  <si>
    <t>пгт. Посьет</t>
  </si>
  <si>
    <t>pt_cs_40</t>
  </si>
  <si>
    <t>pt_ist_te_40</t>
  </si>
  <si>
    <t>пгт. Приморский</t>
  </si>
  <si>
    <t>pt_cs_41</t>
  </si>
  <si>
    <t>pt_ist_te_41</t>
  </si>
  <si>
    <t>с. Безверхово, с. Перевозная</t>
  </si>
  <si>
    <t>pt_cs_60</t>
  </si>
  <si>
    <t>pt_ist_te_60</t>
  </si>
  <si>
    <t>с Дмитриевка, с. Меркушевка, с. Синий Гай, с. Искра, с. Майское</t>
  </si>
  <si>
    <t>pt_ter_39</t>
  </si>
  <si>
    <t>pt_cs_43</t>
  </si>
  <si>
    <t>pt_ist_te_43</t>
  </si>
  <si>
    <t>с. Реттиховка</t>
  </si>
  <si>
    <t>pt_ter_40</t>
  </si>
  <si>
    <t>pt_cs_46</t>
  </si>
  <si>
    <t>pt_ist_te_46</t>
  </si>
  <si>
    <t>с. Снегуровка, с. Васиановка, с. Абражевка</t>
  </si>
  <si>
    <t>pt_ter_41</t>
  </si>
  <si>
    <t>pt_cs_47</t>
  </si>
  <si>
    <t>pt_ist_te_47</t>
  </si>
  <si>
    <t>с. Черниговка, с. Горный Хутор</t>
  </si>
  <si>
    <t>pt_ter_42</t>
  </si>
  <si>
    <t>pt_cs_48</t>
  </si>
  <si>
    <t>pt_ist_te_48</t>
  </si>
  <si>
    <t>с. Романовка</t>
  </si>
  <si>
    <t>pt_ter_43</t>
  </si>
  <si>
    <t>pt_cs_49</t>
  </si>
  <si>
    <t>pt_ist_te_49</t>
  </si>
  <si>
    <t>с. Многоудобное</t>
  </si>
  <si>
    <t>pt_ter_44</t>
  </si>
  <si>
    <t>pt_cs_51</t>
  </si>
  <si>
    <t>pt_ist_te_51</t>
  </si>
  <si>
    <t>Дальнегорский ГО</t>
  </si>
  <si>
    <t>pt_ter_45</t>
  </si>
  <si>
    <t>pt_cs_52</t>
  </si>
  <si>
    <t>pt_ist_te_52</t>
  </si>
  <si>
    <t>Военный городок Графский</t>
  </si>
  <si>
    <t>pt_ter_46</t>
  </si>
  <si>
    <t>pt_cs_53</t>
  </si>
  <si>
    <t>pt_ist_te_53</t>
  </si>
  <si>
    <t>МКР им. С. Лазо</t>
  </si>
  <si>
    <t>pt_ter_47</t>
  </si>
  <si>
    <t>pt_cs_55</t>
  </si>
  <si>
    <t>pt_ist_te_55</t>
  </si>
  <si>
    <t>МКР №1, №2, №3, №3-А, им. 50-летия Спасска, им. Блюхера, "Партизанский", "Заречная часть", п. Шиферный</t>
  </si>
  <si>
    <t>pt_cs_57</t>
  </si>
  <si>
    <t>pt_ist_te_57</t>
  </si>
  <si>
    <t>ЗАТО город Фокино</t>
  </si>
  <si>
    <t>pt_ter_48</t>
  </si>
  <si>
    <t>pt_cs_56</t>
  </si>
  <si>
    <t>pt_ist_te_56</t>
  </si>
  <si>
    <t>ЗАТО город Фокино (пгт. Путятин)</t>
  </si>
  <si>
    <t>pt_cs_59</t>
  </si>
  <si>
    <t>pt_ist_te_59</t>
  </si>
  <si>
    <t>Добавить территорию для дифференциации</t>
  </si>
  <si>
    <t>Добавить наименование тарифа</t>
  </si>
  <si>
    <t>Тариф на техническую воду</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</si>
  <si>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</si>
  <si>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</si>
  <si>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</si>
  <si>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</si>
  <si>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</si>
  <si>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</si>
  <si>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</si>
  <si>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</si>
  <si>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</si>
  <si>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</si>
  <si>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</si>
  <si>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</si>
  <si>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</si>
  <si>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</si>
  <si>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</si>
  <si>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</si>
  <si>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</si>
  <si>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</si>
  <si>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</si>
  <si>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</si>
  <si>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</si>
  <si>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</si>
  <si>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</si>
  <si>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</si>
  <si>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</si>
  <si>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</si>
  <si>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</si>
  <si>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</si>
  <si>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</si>
  <si>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</si>
  <si>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</si>
  <si>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</si>
  <si>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</si>
  <si>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</si>
  <si>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</si>
  <si>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</si>
  <si>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</si>
  <si>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</si>
  <si>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</si>
  <si>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</si>
  <si>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</si>
  <si>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</si>
  <si>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</si>
  <si>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</si>
  <si>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</si>
  <si>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</si>
  <si>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</si>
  <si>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</si>
  <si>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</si>
  <si>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</si>
  <si>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</si>
  <si>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</si>
  <si>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</si>
  <si>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</si>
  <si>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</si>
  <si>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</si>
  <si>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</si>
  <si>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</si>
  <si>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</si>
  <si>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</si>
  <si>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</si>
  <si>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</si>
  <si>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</si>
  <si>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</si>
  <si>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</si>
  <si>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</si>
  <si>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</si>
  <si>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</si>
  <si>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</si>
  <si>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</si>
  <si>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</si>
  <si>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</si>
  <si>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</si>
  <si>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</si>
  <si>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</si>
  <si>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</si>
  <si>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</si>
  <si>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</si>
  <si>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</si>
  <si>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</si>
  <si>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</si>
  <si>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</si>
  <si>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</si>
  <si>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</si>
  <si>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</si>
  <si>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</si>
  <si>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</si>
  <si>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</si>
  <si>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</si>
  <si>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</si>
  <si>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</si>
  <si>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</si>
  <si>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</si>
  <si>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</si>
  <si>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</si>
  <si>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</si>
  <si>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</si>
  <si>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</si>
  <si>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</si>
  <si>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</si>
  <si>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</si>
  <si>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</si>
  <si>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</si>
  <si>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</si>
  <si>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</si>
  <si>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</si>
  <si>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</si>
  <si>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</si>
  <si>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</si>
  <si>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</si>
  <si>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</si>
  <si>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</si>
  <si>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</si>
  <si>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</si>
  <si>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</si>
  <si>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</si>
  <si>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</si>
  <si>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</si>
  <si>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</si>
  <si>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</si>
  <si>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</si>
  <si>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</si>
  <si>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</si>
  <si>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</si>
  <si>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</si>
  <si>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</si>
  <si>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</si>
  <si>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</si>
  <si>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</si>
  <si>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</si>
  <si>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</si>
  <si>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</si>
  <si>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</si>
  <si>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</si>
  <si>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</si>
  <si>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</si>
  <si>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</si>
  <si>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</si>
  <si>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</si>
  <si>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</si>
  <si>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</si>
  <si>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</si>
  <si>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</si>
  <si>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</si>
  <si>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</si>
  <si>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</si>
  <si>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</si>
  <si>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</si>
  <si>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</si>
  <si>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</si>
  <si>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</si>
  <si>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</si>
  <si>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</si>
  <si>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</si>
  <si>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</si>
  <si>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</si>
  <si>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</si>
  <si>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</si>
  <si>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</si>
  <si>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</si>
  <si>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</si>
  <si>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</si>
  <si>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</si>
  <si>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</si>
  <si>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</si>
  <si>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</si>
  <si>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</si>
  <si>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</si>
  <si>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</si>
  <si>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</si>
  <si>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</si>
  <si>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</si>
  <si>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</si>
  <si>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</si>
  <si>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</si>
  <si>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</si>
  <si>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</si>
  <si>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</si>
  <si>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</si>
  <si>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</si>
  <si>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</si>
  <si>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</si>
  <si>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</si>
  <si>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</si>
  <si>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</si>
  <si>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</si>
  <si>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</si>
  <si>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</si>
  <si>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</si>
  <si>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</si>
  <si>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</si>
  <si>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</si>
  <si>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</si>
  <si>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</si>
  <si>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</si>
  <si>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</si>
  <si>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</si>
  <si>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</si>
  <si>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</si>
  <si>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</si>
  <si>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</si>
  <si>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</si>
  <si>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</si>
  <si>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</si>
  <si>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</si>
  <si>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</si>
  <si>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</si>
  <si>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</si>
  <si>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</si>
  <si>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</si>
  <si>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</si>
  <si>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</si>
  <si>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</si>
  <si>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</si>
  <si>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</si>
  <si>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</si>
  <si>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</si>
  <si>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</si>
  <si>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</si>
  <si>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</si>
  <si>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</si>
  <si>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</si>
  <si>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</si>
  <si>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</si>
  <si>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</si>
  <si>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</si>
  <si>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</si>
  <si>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</si>
  <si>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</si>
  <si>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</si>
  <si>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</si>
  <si>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</si>
  <si>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</si>
  <si>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</si>
  <si>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</si>
  <si>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</si>
  <si>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</si>
  <si>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</si>
  <si>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</si>
  <si>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</si>
  <si>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</si>
  <si>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</si>
  <si>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</si>
  <si>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</si>
  <si>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</si>
  <si>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</si>
  <si>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</si>
  <si>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</si>
  <si>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</si>
  <si>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</si>
  <si>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</si>
  <si>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</si>
  <si>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</si>
  <si>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</si>
  <si>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</si>
  <si>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</si>
  <si>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</si>
  <si>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</si>
  <si>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</si>
  <si>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</si>
  <si>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</si>
  <si>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</si>
  <si>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</si>
  <si>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</si>
  <si>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</si>
  <si>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</si>
  <si>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</si>
  <si>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</si>
  <si>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</si>
  <si>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</si>
  <si>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</si>
  <si>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</si>
  <si>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</si>
  <si>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</si>
  <si>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</si>
  <si>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</si>
  <si>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</si>
  <si>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</si>
  <si>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</si>
  <si>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</si>
  <si>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</si>
  <si>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</si>
  <si>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</si>
  <si>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</si>
  <si>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</si>
  <si>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</si>
  <si>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</si>
  <si>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</si>
  <si>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</si>
  <si>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</si>
  <si>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</si>
  <si>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</si>
  <si>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</si>
  <si>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</si>
  <si>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</si>
  <si>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</si>
  <si>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</si>
  <si>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</si>
  <si>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</si>
  <si>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</si>
  <si>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</si>
  <si>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</si>
  <si>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</si>
  <si>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</si>
  <si>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</si>
  <si>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</si>
  <si>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</si>
  <si>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</si>
  <si>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</si>
  <si>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</si>
  <si>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</si>
  <si>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</si>
  <si>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</si>
  <si>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</si>
  <si>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</si>
  <si>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</si>
  <si>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</si>
  <si>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</si>
  <si>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</si>
  <si>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</si>
  <si>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</si>
  <si>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</si>
  <si>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</si>
  <si>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</si>
  <si>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</si>
  <si>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</si>
  <si>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</si>
  <si>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</si>
  <si>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</si>
  <si>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</si>
  <si>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</si>
  <si>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</si>
  <si>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</si>
  <si>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</si>
  <si>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</si>
  <si>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</si>
  <si>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</si>
  <si>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</si>
  <si>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</si>
  <si>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</si>
  <si>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</si>
  <si>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</si>
  <si>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</si>
  <si>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</si>
  <si>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</si>
  <si>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</si>
  <si>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</si>
  <si>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</si>
  <si>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</si>
  <si>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</si>
  <si>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</si>
  <si>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</si>
  <si>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</si>
  <si>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</si>
  <si>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</si>
  <si>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</si>
  <si>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</si>
  <si>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</si>
  <si>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</si>
  <si>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</si>
  <si>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</si>
  <si>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</si>
  <si>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</si>
  <si>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</si>
  <si>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</si>
  <si>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</si>
  <si>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</si>
  <si>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</si>
  <si>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</si>
  <si>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</si>
  <si>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</si>
  <si>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</si>
  <si>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</si>
  <si>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</si>
  <si>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</si>
  <si>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</si>
  <si>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</si>
  <si>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</si>
  <si>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</si>
  <si>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</si>
  <si>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</si>
  <si>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</si>
  <si>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</si>
  <si>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</si>
  <si>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</si>
  <si>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</si>
  <si>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</si>
  <si>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</si>
  <si>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</si>
  <si>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</si>
  <si>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</si>
  <si>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</si>
  <si>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</si>
  <si>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</si>
  <si>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</si>
  <si>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</si>
  <si>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</si>
  <si>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</si>
  <si>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</si>
  <si>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</si>
  <si>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</si>
  <si>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</si>
  <si>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</si>
  <si>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</si>
  <si>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</si>
  <si>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</si>
  <si>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</si>
  <si>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</si>
  <si>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</si>
  <si>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</si>
  <si>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</si>
  <si>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</si>
  <si>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</si>
  <si>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</si>
  <si>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</si>
  <si>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</si>
  <si>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</si>
  <si>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</si>
  <si>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</si>
  <si>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</si>
  <si>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</si>
  <si>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</si>
  <si>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</si>
  <si>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</si>
  <si>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</si>
  <si>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</si>
  <si>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</si>
  <si>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</si>
  <si>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</si>
  <si>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</si>
  <si>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</si>
  <si>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</si>
  <si>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</si>
  <si>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</si>
  <si>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</si>
  <si>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</si>
  <si>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</si>
  <si>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</si>
  <si>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</si>
  <si>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</si>
  <si>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</si>
  <si>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</si>
  <si>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</si>
  <si>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</si>
  <si>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</si>
  <si>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</si>
  <si>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</si>
  <si>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</si>
  <si>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</si>
  <si>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</si>
  <si>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</si>
  <si>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</si>
  <si>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</si>
  <si>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</si>
  <si>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</si>
  <si>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</si>
  <si>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</si>
  <si>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</si>
  <si>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</si>
  <si>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</si>
  <si>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</si>
  <si>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</si>
  <si>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</si>
  <si>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</si>
  <si>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</si>
  <si>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</si>
  <si>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</si>
  <si>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</si>
  <si>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</si>
  <si>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</si>
  <si>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</si>
  <si>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</si>
  <si>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</si>
  <si>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</si>
  <si>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</si>
  <si>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</si>
  <si>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</si>
  <si>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</si>
  <si>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</si>
  <si>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</si>
  <si>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</si>
  <si>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</si>
  <si>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</si>
  <si>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</si>
  <si>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</si>
  <si>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</si>
  <si>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</si>
  <si>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</si>
  <si>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</si>
  <si>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</si>
  <si>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</si>
  <si>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</si>
  <si>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</si>
  <si>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</si>
  <si>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</si>
  <si>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</si>
  <si>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</si>
  <si>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</si>
  <si>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</si>
  <si>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</si>
  <si>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</si>
  <si>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</si>
  <si>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</si>
  <si>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</si>
  <si>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</si>
  <si>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</si>
  <si>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</si>
  <si>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</si>
  <si>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</si>
  <si>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</si>
  <si>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</si>
  <si>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</si>
  <si>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</si>
  <si>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</si>
  <si>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</si>
  <si>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</si>
  <si>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</si>
  <si>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</si>
  <si>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</si>
  <si>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</si>
  <si>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</si>
  <si>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</si>
  <si>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</si>
  <si>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</si>
  <si>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</si>
  <si>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</si>
  <si>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</si>
  <si>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</si>
  <si>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</si>
  <si>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</si>
  <si>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</si>
  <si>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</si>
  <si>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</si>
  <si>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</si>
  <si>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</si>
  <si>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</si>
  <si>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</si>
  <si>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</si>
  <si>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</si>
  <si>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</si>
  <si>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</si>
  <si>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</si>
  <si>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</si>
  <si>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</si>
  <si>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</si>
  <si>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</si>
  <si>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</si>
  <si>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</si>
  <si>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</si>
  <si>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</si>
  <si>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</si>
  <si>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</si>
  <si>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</si>
  <si>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</si>
  <si>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</si>
  <si>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</si>
  <si>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</si>
  <si>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</si>
  <si>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</si>
  <si>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</si>
  <si>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</si>
  <si>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</si>
  <si>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</si>
  <si>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</si>
  <si>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</si>
  <si>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</si>
  <si>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</si>
  <si>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</si>
  <si>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</si>
  <si>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</si>
  <si>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</si>
  <si>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</si>
  <si>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</si>
  <si>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</si>
  <si>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</si>
  <si>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</si>
  <si>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</si>
  <si>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</si>
  <si>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</si>
  <si>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</si>
  <si>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</si>
  <si>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</si>
  <si>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</si>
  <si>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</si>
  <si>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</si>
  <si>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</si>
  <si>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</si>
  <si>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</si>
  <si>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</si>
  <si>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</si>
  <si>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</si>
  <si>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</si>
  <si>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</si>
  <si>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</si>
  <si>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</si>
  <si>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</si>
  <si>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</si>
  <si>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</si>
  <si>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</si>
  <si>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</si>
  <si>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</si>
  <si>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</si>
  <si>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</si>
  <si>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</si>
  <si>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</si>
  <si>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</si>
  <si>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</si>
  <si>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</si>
  <si>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</si>
  <si>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</si>
  <si>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</si>
  <si>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</si>
  <si>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</si>
  <si>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</si>
  <si>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</si>
  <si>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</si>
  <si>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</si>
  <si>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</si>
  <si>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</si>
  <si>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</si>
  <si>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</si>
  <si>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</si>
  <si>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</si>
  <si>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</si>
  <si>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</si>
  <si>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</si>
  <si>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</si>
  <si>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</si>
  <si>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</si>
  <si>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</si>
  <si>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</si>
  <si>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</si>
  <si>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</si>
  <si>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</si>
  <si>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</si>
  <si>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</si>
  <si>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</si>
  <si>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</si>
  <si>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</si>
  <si>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</si>
  <si>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</si>
  <si>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</si>
  <si>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</si>
  <si>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</si>
  <si>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</si>
  <si>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</si>
  <si>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</si>
  <si>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</si>
  <si>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</si>
  <si>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</si>
  <si>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</si>
  <si>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</si>
  <si>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</si>
  <si>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</si>
  <si>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</si>
  <si>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</si>
  <si>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</si>
  <si>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</si>
  <si>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</si>
  <si>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</si>
  <si>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</si>
  <si>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</si>
  <si>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</si>
  <si>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</si>
  <si>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</si>
  <si>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</si>
  <si>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</si>
  <si>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</si>
  <si>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</si>
  <si>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</si>
  <si>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</si>
  <si>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</si>
  <si>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</si>
  <si>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</si>
  <si>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</si>
  <si>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</si>
  <si>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</si>
  <si>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</si>
  <si>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</si>
  <si>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</si>
  <si>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</si>
  <si>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</si>
  <si>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</si>
  <si>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</si>
  <si>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</si>
  <si>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</si>
  <si>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</si>
  <si>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</si>
  <si>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</si>
  <si>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</si>
  <si>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</si>
  <si>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</si>
  <si>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</si>
  <si>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</si>
  <si>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</si>
  <si>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</si>
  <si>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</si>
  <si>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</si>
  <si>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</si>
  <si>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</si>
  <si>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</si>
  <si>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</si>
  <si>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</si>
  <si>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</si>
  <si>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</si>
  <si>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</si>
  <si>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</si>
  <si>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</si>
  <si>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</si>
  <si>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</si>
  <si>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</si>
  <si>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</si>
  <si>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</si>
  <si>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</si>
  <si>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</si>
  <si>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</si>
  <si>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</si>
  <si>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</si>
  <si>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</si>
  <si>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</si>
  <si>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</si>
  <si>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</si>
  <si>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</si>
  <si>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</si>
  <si>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</si>
  <si>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</si>
  <si>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</si>
  <si>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</si>
  <si>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</si>
  <si>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</si>
  <si>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</si>
  <si>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</si>
  <si>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</si>
  <si>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</si>
  <si>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</si>
  <si>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</si>
  <si>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</si>
  <si>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</si>
  <si>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</si>
  <si>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</si>
  <si>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</si>
  <si>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</si>
  <si>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</si>
  <si>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</si>
  <si>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</si>
  <si>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</si>
  <si>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</si>
  <si>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</si>
  <si>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</si>
  <si>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</si>
  <si>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</si>
  <si>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</si>
  <si>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</si>
  <si>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</si>
  <si>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</si>
  <si>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</si>
  <si>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</si>
  <si>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</si>
  <si>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</si>
  <si>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</si>
  <si>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</si>
  <si>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</si>
  <si>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</si>
  <si>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</si>
  <si>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</si>
  <si>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</si>
  <si>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</si>
  <si>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</si>
  <si>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</si>
  <si>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</si>
  <si>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</si>
  <si>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</si>
  <si>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</si>
  <si>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</si>
  <si>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</si>
  <si>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</si>
  <si>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</si>
  <si>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</si>
  <si>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</si>
  <si>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</si>
  <si>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</si>
  <si>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</si>
  <si>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</si>
  <si>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</si>
  <si>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</si>
  <si>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</si>
  <si>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</si>
  <si>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</si>
  <si>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</si>
  <si>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</si>
  <si>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</si>
  <si>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</si>
  <si>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</si>
  <si>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</si>
  <si>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</si>
  <si>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</si>
  <si>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</si>
  <si>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</si>
  <si>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</si>
  <si>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</si>
  <si>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</si>
  <si>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</si>
  <si>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</si>
  <si>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</si>
  <si>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</si>
  <si>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</si>
  <si>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</si>
  <si>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</si>
  <si>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</si>
  <si>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</si>
  <si>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</si>
  <si>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</si>
  <si>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</si>
  <si>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</si>
  <si>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</si>
  <si>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</si>
  <si>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</si>
  <si>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</si>
  <si>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</si>
  <si>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</si>
  <si>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</si>
  <si>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</si>
  <si>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</si>
  <si>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</si>
  <si>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</si>
  <si>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</si>
  <si>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</si>
  <si>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</si>
  <si>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</si>
  <si>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</si>
  <si>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</si>
  <si>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</si>
  <si>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</si>
  <si>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</si>
  <si>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</si>
  <si>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</si>
  <si>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</si>
  <si>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</si>
  <si>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</si>
  <si>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</si>
  <si>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</si>
  <si>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</si>
  <si>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</si>
  <si>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</si>
  <si>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</si>
  <si>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</si>
  <si>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</si>
  <si>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</si>
  <si>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</si>
  <si>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</si>
  <si>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</si>
  <si>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</si>
  <si>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</si>
  <si>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</si>
  <si>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</si>
  <si>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</si>
  <si>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</si>
  <si>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</si>
  <si>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</si>
  <si>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</si>
  <si>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</si>
  <si>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</si>
  <si>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</si>
  <si>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</si>
  <si>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</si>
  <si>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</si>
  <si>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</si>
  <si>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</si>
  <si>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</si>
  <si>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</si>
  <si>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</si>
  <si>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</si>
  <si>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</si>
  <si>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</si>
  <si>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</si>
  <si>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</si>
  <si>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</si>
  <si>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</si>
  <si>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</si>
  <si>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</si>
  <si>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</si>
  <si>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</si>
  <si>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</si>
  <si>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</si>
  <si>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</si>
  <si>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</si>
  <si>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</si>
  <si>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</si>
  <si>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</si>
  <si>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</si>
  <si>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</si>
  <si>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</si>
  <si>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</si>
  <si>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</si>
  <si>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</si>
  <si>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</si>
  <si>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</si>
  <si>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</si>
  <si>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</si>
  <si>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</si>
  <si>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</si>
  <si>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</si>
  <si>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</si>
  <si>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</si>
  <si>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</si>
  <si>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</si>
  <si>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https://portal.eias.ru/Portal/DownloadPage.aspx?type=12&amp;guid=ba4e3238-a171-44d0-b6f9-505ef1a17057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</si>
  <si>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</si>
  <si>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</si>
  <si>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</si>
  <si>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</si>
  <si>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</si>
  <si>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</si>
  <si>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</si>
  <si>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</si>
  <si>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</si>
  <si>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</si>
  <si>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</si>
  <si>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</si>
  <si>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</si>
  <si>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</si>
  <si>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</si>
  <si>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</si>
  <si>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</si>
  <si>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</si>
  <si>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</si>
  <si>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</si>
  <si>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</si>
  <si>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</si>
  <si>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</si>
  <si>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</si>
  <si>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</si>
  <si>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</si>
  <si>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</si>
  <si>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</si>
  <si>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</si>
  <si>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</si>
  <si>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</si>
  <si>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</si>
  <si>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</si>
  <si>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</si>
  <si>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</si>
  <si>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</si>
  <si>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</si>
  <si>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</si>
  <si>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</si>
  <si>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</si>
  <si>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</si>
  <si>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</si>
  <si>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</si>
  <si>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</si>
  <si>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</si>
  <si>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</si>
  <si>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</si>
  <si>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</si>
  <si>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</si>
  <si>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</si>
  <si>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</si>
  <si>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</si>
  <si>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</si>
  <si>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</si>
  <si>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</si>
  <si>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</si>
  <si>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</si>
  <si>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</si>
  <si>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</si>
  <si>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</si>
  <si>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</si>
  <si>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</si>
  <si>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</si>
  <si>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</si>
  <si>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</si>
  <si>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</si>
  <si>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</si>
  <si>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</si>
  <si>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</si>
  <si>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</si>
  <si>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</si>
  <si>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</si>
  <si>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</si>
  <si>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</si>
  <si>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</si>
  <si>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</si>
  <si>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</si>
  <si>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</si>
  <si>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</si>
  <si>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</si>
  <si>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</si>
  <si>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</si>
  <si>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</si>
  <si>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</si>
  <si>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</si>
  <si>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</si>
  <si>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</si>
  <si>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</si>
  <si>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</si>
  <si>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</si>
  <si>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</si>
  <si>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</si>
  <si>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</si>
  <si>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</si>
  <si>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</si>
  <si>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</si>
  <si>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</si>
  <si>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</si>
  <si>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</si>
  <si>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</si>
  <si>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</si>
  <si>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</si>
  <si>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</si>
  <si>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</si>
  <si>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</si>
  <si>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</si>
  <si>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</si>
  <si>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</si>
  <si>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</si>
  <si>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</si>
  <si>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</si>
  <si>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</si>
  <si>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</si>
  <si>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</si>
  <si>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</si>
  <si>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</si>
  <si>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</si>
  <si>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</si>
  <si>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</si>
  <si>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</si>
  <si>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</si>
  <si>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</si>
  <si>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</si>
  <si>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</si>
  <si>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</si>
  <si>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</si>
  <si>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</si>
  <si>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</si>
  <si>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</si>
  <si>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</si>
  <si>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</si>
  <si>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</si>
  <si>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</si>
  <si>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</si>
  <si>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</si>
  <si>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</si>
  <si>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</si>
  <si>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</si>
  <si>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</si>
  <si>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</si>
  <si>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</si>
  <si>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</si>
  <si>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</si>
  <si>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</si>
  <si>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</si>
  <si>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</si>
  <si>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</si>
  <si>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</si>
  <si>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</si>
  <si>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</si>
  <si>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</si>
  <si>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</si>
  <si>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</si>
  <si>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</si>
  <si>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</si>
  <si>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</si>
  <si>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</si>
  <si>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</si>
  <si>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</si>
  <si>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</si>
  <si>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</si>
  <si>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</si>
  <si>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</si>
  <si>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</si>
  <si>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</si>
  <si>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</si>
  <si>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</si>
  <si>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</si>
  <si>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</si>
  <si>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</si>
  <si>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</si>
  <si>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</si>
  <si>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</si>
  <si>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</si>
  <si>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</si>
  <si>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</si>
  <si>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</si>
  <si>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</si>
  <si>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</si>
  <si>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</si>
  <si>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</si>
  <si>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</si>
  <si>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</si>
  <si>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</si>
  <si>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</si>
  <si>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</si>
  <si>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</si>
  <si>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</si>
  <si>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</si>
  <si>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</si>
  <si>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</si>
  <si>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</si>
  <si>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</si>
  <si>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</si>
  <si>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</si>
  <si>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</si>
  <si>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</si>
  <si>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</si>
  <si>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</si>
  <si>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</si>
  <si>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</si>
  <si>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</si>
  <si>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</si>
  <si>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</si>
  <si>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</si>
  <si>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</si>
  <si>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</si>
  <si>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</si>
  <si>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</si>
  <si>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</si>
  <si>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</si>
  <si>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</si>
  <si>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</si>
  <si>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</si>
  <si>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</si>
  <si>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</si>
  <si>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</si>
  <si>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</si>
  <si>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</si>
  <si>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</si>
  <si>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</si>
  <si>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</si>
  <si>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</si>
  <si>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</si>
  <si>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</si>
  <si>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</si>
  <si>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</si>
  <si>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</si>
  <si>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</si>
  <si>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</si>
  <si>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</si>
  <si>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</si>
  <si>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</si>
  <si>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</si>
  <si>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</si>
  <si>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</si>
  <si>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</si>
  <si>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</si>
  <si>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</si>
  <si>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</si>
  <si>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</si>
  <si>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</si>
  <si>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</si>
  <si>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</si>
  <si>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</si>
  <si>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</si>
  <si>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</si>
  <si>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</si>
  <si>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</si>
  <si>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</si>
  <si>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</si>
  <si>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</si>
  <si>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</si>
  <si>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</si>
  <si>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</si>
  <si>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</si>
  <si>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</si>
  <si>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</si>
  <si>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</si>
  <si>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</si>
  <si>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</si>
  <si>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</si>
  <si>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</si>
  <si>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</si>
  <si>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</si>
  <si>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</si>
  <si>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</si>
  <si>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</si>
  <si>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</si>
  <si>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</si>
  <si>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</si>
  <si>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</si>
  <si>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</si>
  <si>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</si>
  <si>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</si>
  <si>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</si>
  <si>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</si>
  <si>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</si>
  <si>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</si>
  <si>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</si>
  <si>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</si>
  <si>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</si>
  <si>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</si>
  <si>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</si>
  <si>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</si>
  <si>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</si>
  <si>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</si>
  <si>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</si>
  <si>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</si>
  <si>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</si>
  <si>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</si>
  <si>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</si>
  <si>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</si>
  <si>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</si>
  <si>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</si>
  <si>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</si>
  <si>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</si>
  <si>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</si>
  <si>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</si>
  <si>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</si>
  <si>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</si>
  <si>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</si>
  <si>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</si>
  <si>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</si>
  <si>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</si>
  <si>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</si>
  <si>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</si>
  <si>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</si>
  <si>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</si>
  <si>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</si>
  <si>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</si>
  <si>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</si>
  <si>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</si>
  <si>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</si>
  <si>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</si>
  <si>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</si>
  <si>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</si>
  <si>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</si>
  <si>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</si>
  <si>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</si>
  <si>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</si>
  <si>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</si>
  <si>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</si>
  <si>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</si>
  <si>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</si>
  <si>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</si>
  <si>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</si>
  <si>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</si>
  <si>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</si>
  <si>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</si>
  <si>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</si>
  <si>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</si>
  <si>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</si>
  <si>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</si>
  <si>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</si>
  <si>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</si>
  <si>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</si>
  <si>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</si>
  <si>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</si>
  <si>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</si>
  <si>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</si>
  <si>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</si>
  <si>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</si>
  <si>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</si>
  <si>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</si>
  <si>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</si>
  <si>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</si>
  <si>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</si>
  <si>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</si>
  <si>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</si>
  <si>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</si>
  <si>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</si>
  <si>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</si>
  <si>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</si>
  <si>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</si>
  <si>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</si>
  <si>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</si>
  <si>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</si>
  <si>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</si>
  <si>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</si>
  <si>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</si>
  <si>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</si>
  <si>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</si>
  <si>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</si>
  <si>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</si>
  <si>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</si>
  <si>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</si>
  <si>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</si>
  <si>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</si>
  <si>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</si>
  <si>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</si>
  <si>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</si>
  <si>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</si>
  <si>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</si>
  <si>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</si>
  <si>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</si>
  <si>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</si>
  <si>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</si>
  <si>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</si>
  <si>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</si>
  <si>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</si>
  <si>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</si>
  <si>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</si>
  <si>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</si>
  <si>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</si>
  <si>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</si>
  <si>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</si>
  <si>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</si>
  <si>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</si>
  <si>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</si>
  <si>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</si>
  <si>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</si>
  <si>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</si>
  <si>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</si>
  <si>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</si>
  <si>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</si>
  <si>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</si>
  <si>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</si>
  <si>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</si>
  <si>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</si>
  <si>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</si>
  <si>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</si>
  <si>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</si>
  <si>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</si>
  <si>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</si>
  <si>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</si>
  <si>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</si>
  <si>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</si>
  <si>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</si>
  <si>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</si>
  <si>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</si>
  <si>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</si>
  <si>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</si>
  <si>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</si>
  <si>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</si>
  <si>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</si>
  <si>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</si>
  <si>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</si>
  <si>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</si>
  <si>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</si>
  <si>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</si>
  <si>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</si>
  <si>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</si>
  <si>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</si>
  <si>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</si>
  <si>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</si>
  <si>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</si>
  <si>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</si>
  <si>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</si>
  <si>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</si>
  <si>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</si>
  <si>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</si>
  <si>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</si>
  <si>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</si>
  <si>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</si>
  <si>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</si>
  <si>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</si>
  <si>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</si>
  <si>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</si>
  <si>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</si>
  <si>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</si>
  <si>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</si>
  <si>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</si>
  <si>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</si>
  <si>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</si>
  <si>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</si>
  <si>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</si>
  <si>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</si>
  <si>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</si>
  <si>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</si>
  <si>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</si>
  <si>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</si>
  <si>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</si>
  <si>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</si>
  <si>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</si>
  <si>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</si>
  <si>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</si>
  <si>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</si>
  <si>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</si>
  <si>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</si>
  <si>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</si>
  <si>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</si>
  <si>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</si>
  <si>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</si>
  <si>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</si>
  <si>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</si>
  <si>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</si>
  <si>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</si>
  <si>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</si>
  <si>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</si>
  <si>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</si>
  <si>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</si>
  <si>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</si>
  <si>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</si>
  <si>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</si>
  <si>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</si>
  <si>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</si>
  <si>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</si>
  <si>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</si>
  <si>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</si>
  <si>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</si>
  <si>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</si>
  <si>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</si>
  <si>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</si>
  <si>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</si>
  <si>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</si>
  <si>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</si>
  <si>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</si>
  <si>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</si>
  <si>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</si>
  <si>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</si>
  <si>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</si>
  <si>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</si>
  <si>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</si>
  <si>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</si>
  <si>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</si>
  <si>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</si>
  <si>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</si>
  <si>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</si>
  <si>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</si>
  <si>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</si>
  <si>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</si>
  <si>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</si>
  <si>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</si>
  <si>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</si>
  <si>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</si>
  <si>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</si>
  <si>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</si>
  <si>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</si>
  <si>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</si>
  <si>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</si>
  <si>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</si>
  <si>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</si>
  <si>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</si>
  <si>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</si>
  <si>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</si>
  <si>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</si>
  <si>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</si>
  <si>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</si>
  <si>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</si>
  <si>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</si>
  <si>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</si>
  <si>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</si>
  <si>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</si>
  <si>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</si>
  <si>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</si>
  <si>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</si>
  <si>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</si>
  <si>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</si>
  <si>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</si>
  <si>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</si>
  <si>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</si>
  <si>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</si>
  <si>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</si>
  <si>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</si>
  <si>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</si>
  <si>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</si>
  <si>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</si>
  <si>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</si>
  <si>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</si>
  <si>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</si>
  <si>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</si>
  <si>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</si>
  <si>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</si>
  <si>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</si>
  <si>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</si>
  <si>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</si>
  <si>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</si>
  <si>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</si>
  <si>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</si>
  <si>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</si>
  <si>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</si>
  <si>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</si>
  <si>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</si>
  <si>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</si>
  <si>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</si>
  <si>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</si>
  <si>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</si>
  <si>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</si>
  <si>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</si>
  <si>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</si>
  <si>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</si>
  <si>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</si>
  <si>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</si>
  <si>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</si>
  <si>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</si>
  <si>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</si>
  <si>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</si>
  <si>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</si>
  <si>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</si>
  <si>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</si>
  <si>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</si>
  <si>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</si>
  <si>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</si>
  <si>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</si>
  <si>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</si>
  <si>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</si>
  <si>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</si>
  <si>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</si>
  <si>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</si>
  <si>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</si>
  <si>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</si>
  <si>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</si>
  <si>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</si>
  <si>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</si>
  <si>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</si>
  <si>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</si>
  <si>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</si>
  <si>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</si>
  <si>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</si>
  <si>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</si>
  <si>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</si>
  <si>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</si>
  <si>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</si>
  <si>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</si>
  <si>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</si>
  <si>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</si>
  <si>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</si>
  <si>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</si>
  <si>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</si>
  <si>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</si>
  <si>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</si>
  <si>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</si>
  <si>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</si>
  <si>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</si>
  <si>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</si>
  <si>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</si>
  <si>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</si>
  <si>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</si>
  <si>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</si>
  <si>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</si>
  <si>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</si>
  <si>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</si>
  <si>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</si>
  <si>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</si>
  <si>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</si>
  <si>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</si>
  <si>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</si>
  <si>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</si>
  <si>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</si>
  <si>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</si>
  <si>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</si>
  <si>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</si>
  <si>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</si>
  <si>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</si>
  <si>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</si>
  <si>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</si>
  <si>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</si>
  <si>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</si>
  <si>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</si>
  <si>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</si>
  <si>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</si>
  <si>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</si>
  <si>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</si>
  <si>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</si>
  <si>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</si>
  <si>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</si>
  <si>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</si>
  <si>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</si>
  <si>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</si>
  <si>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</si>
  <si>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</si>
  <si>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</si>
  <si>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</si>
  <si>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</si>
  <si>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</si>
  <si>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</si>
  <si>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</si>
  <si>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</si>
  <si>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</si>
  <si>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</si>
  <si>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</si>
  <si>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</si>
  <si>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</si>
  <si>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</si>
  <si>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</si>
  <si>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</si>
  <si>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</si>
  <si>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</si>
  <si>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</si>
  <si>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</si>
  <si>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</si>
  <si>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</si>
  <si>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</si>
  <si>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</si>
  <si>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</si>
  <si>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</si>
  <si>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</si>
  <si>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</si>
  <si>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</si>
  <si>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</si>
  <si>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</si>
  <si>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</si>
  <si>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</si>
  <si>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</si>
  <si>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</si>
  <si>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</si>
  <si>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</si>
  <si>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</si>
  <si>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</si>
  <si>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</si>
  <si>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</si>
  <si>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</si>
  <si>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</si>
  <si>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</si>
  <si>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</si>
  <si>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</si>
  <si>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</si>
  <si>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</si>
  <si>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</si>
  <si>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</si>
  <si>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</si>
  <si>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</si>
  <si>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</si>
  <si>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</si>
  <si>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</si>
  <si>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</si>
  <si>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</si>
  <si>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</si>
  <si>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</si>
  <si>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</si>
  <si>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</si>
  <si>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</si>
  <si>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</si>
  <si>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</si>
  <si>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</si>
  <si>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</si>
  <si>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</si>
  <si>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</si>
  <si>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</si>
  <si>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</si>
  <si>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</si>
  <si>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</si>
  <si>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</si>
  <si>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</si>
  <si>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</si>
  <si>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</si>
  <si>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</si>
  <si>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</si>
  <si>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</si>
  <si>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</si>
  <si>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</si>
  <si>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</si>
  <si>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</si>
  <si>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</si>
  <si>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</si>
  <si>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</si>
  <si>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</si>
  <si>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</si>
  <si>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</si>
  <si>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</si>
  <si>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</si>
  <si>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</si>
  <si>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</si>
  <si>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</si>
  <si>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</si>
  <si>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</si>
  <si>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</si>
  <si>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</si>
  <si>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</si>
  <si>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</si>
  <si>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</si>
  <si>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</si>
  <si>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</si>
  <si>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</si>
  <si>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</si>
  <si>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</si>
  <si>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</si>
  <si>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</si>
  <si>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</si>
  <si>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</si>
  <si>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</si>
  <si>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</si>
  <si>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</si>
  <si>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</si>
  <si>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</si>
  <si>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</si>
  <si>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</si>
  <si>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</si>
  <si>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</si>
  <si>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</si>
  <si>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Изменение в постановление агентства по тарифам Приморского края от 20.12.2023 №71/10</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</si>
  <si>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</si>
  <si>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</si>
  <si>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</si>
  <si>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</si>
  <si>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</si>
  <si>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</si>
  <si>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</si>
  <si>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</si>
  <si>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</si>
  <si>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</si>
  <si>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</si>
  <si>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</si>
  <si>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</si>
  <si>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</si>
  <si>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</si>
  <si>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</si>
  <si>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</si>
  <si>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</si>
  <si>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</si>
  <si>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</si>
  <si>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</si>
  <si>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</si>
  <si>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</si>
  <si>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</si>
  <si>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</si>
  <si>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</si>
  <si>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</si>
  <si>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</si>
  <si>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</si>
  <si>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</si>
  <si>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</si>
  <si>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</si>
  <si>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</si>
  <si>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</si>
  <si>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</si>
  <si>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</si>
  <si>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</si>
  <si>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</si>
  <si>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</si>
  <si>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</si>
  <si>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</si>
  <si>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</si>
  <si>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</si>
  <si>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</si>
  <si>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</si>
  <si>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</si>
  <si>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</si>
  <si>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</si>
  <si>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</si>
  <si>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</si>
  <si>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</si>
  <si>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</si>
  <si>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</si>
  <si>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</si>
  <si>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</si>
  <si>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</si>
  <si>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</si>
  <si>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</si>
  <si>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</si>
  <si>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</si>
  <si>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</si>
  <si>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</si>
  <si>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</si>
  <si>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</si>
  <si>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</si>
  <si>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</si>
  <si>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</si>
  <si>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</si>
  <si>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</si>
  <si>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</si>
  <si>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</si>
  <si>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</si>
  <si>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</si>
  <si>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</si>
  <si>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</si>
  <si>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</si>
  <si>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</si>
  <si>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</si>
  <si>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</si>
  <si>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</si>
  <si>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</si>
  <si>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</si>
  <si>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</si>
  <si>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</si>
  <si>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</si>
  <si>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</si>
  <si>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</si>
  <si>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</si>
  <si>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</si>
  <si>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</si>
  <si>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</si>
  <si>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</si>
  <si>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</si>
  <si>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</si>
  <si>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</si>
  <si>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</si>
  <si>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</si>
  <si>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</si>
  <si>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</si>
  <si>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</si>
  <si>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</si>
  <si>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</si>
  <si>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</si>
  <si>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</si>
  <si>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</si>
  <si>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</si>
  <si>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</si>
  <si>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</si>
  <si>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</si>
  <si>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</si>
  <si>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</si>
  <si>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</si>
  <si>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</si>
  <si>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</si>
  <si>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</si>
  <si>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</si>
  <si>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</si>
  <si>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</si>
  <si>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</si>
  <si>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</si>
  <si>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</si>
  <si>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</si>
  <si>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</si>
  <si>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</si>
  <si>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</si>
  <si>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</si>
  <si>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</si>
  <si>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</si>
  <si>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</si>
  <si>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</si>
  <si>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</si>
  <si>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</si>
  <si>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</si>
  <si>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</si>
  <si>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</si>
  <si>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</si>
  <si>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</si>
  <si>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</si>
  <si>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</si>
  <si>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</si>
  <si>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</si>
  <si>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</si>
  <si>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</si>
  <si>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</si>
  <si>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</si>
  <si>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</si>
  <si>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</si>
  <si>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</si>
  <si>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</si>
  <si>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</si>
  <si>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</si>
  <si>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</si>
  <si>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</si>
  <si>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</si>
  <si>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</si>
  <si>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</si>
  <si>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</si>
  <si>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</si>
  <si>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</si>
  <si>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</si>
  <si>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</si>
  <si>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</si>
  <si>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</si>
  <si>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</si>
  <si>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</si>
  <si>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</si>
  <si>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</si>
  <si>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</si>
  <si>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</si>
  <si>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</si>
  <si>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</si>
  <si>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</si>
  <si>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</si>
  <si>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</si>
  <si>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</si>
  <si>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</si>
  <si>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</si>
  <si>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</si>
  <si>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</si>
  <si>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</si>
  <si>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</si>
  <si>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</si>
  <si>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</si>
  <si>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</si>
  <si>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</si>
  <si>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</si>
  <si>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</si>
  <si>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</si>
  <si>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</si>
  <si>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</si>
  <si>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</si>
  <si>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</si>
  <si>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</si>
  <si>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</si>
  <si>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</si>
  <si>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</si>
  <si>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</si>
  <si>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</si>
  <si>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</si>
  <si>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</si>
  <si>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</si>
  <si>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</si>
  <si>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</si>
  <si>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</si>
  <si>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</si>
  <si>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</si>
  <si>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</si>
  <si>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</si>
  <si>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</si>
  <si>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</si>
  <si>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</si>
  <si>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</si>
  <si>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</si>
  <si>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</si>
  <si>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</si>
  <si>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</si>
  <si>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</si>
  <si>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</si>
  <si>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</si>
  <si>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</si>
  <si>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</si>
  <si>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</si>
  <si>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</si>
  <si>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</si>
  <si>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</si>
  <si>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</si>
  <si>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</si>
  <si>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</si>
  <si>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</si>
  <si>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</si>
  <si>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</si>
  <si>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</si>
  <si>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</si>
  <si>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</si>
  <si>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</si>
  <si>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</si>
  <si>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</si>
  <si>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</si>
  <si>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</si>
  <si>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</si>
  <si>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</si>
  <si>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</si>
  <si>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</si>
  <si>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</si>
  <si>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</si>
  <si>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</si>
  <si>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</si>
  <si>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</si>
  <si>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</si>
  <si>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</si>
  <si>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</si>
  <si>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</si>
  <si>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</si>
  <si>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</si>
  <si>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</si>
  <si>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</si>
  <si>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</si>
  <si>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</si>
  <si>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</si>
  <si>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</si>
  <si>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</si>
  <si>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</si>
  <si>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</si>
  <si>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</si>
  <si>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</si>
  <si>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</si>
  <si>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</si>
  <si>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</si>
  <si>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</si>
  <si>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</si>
  <si>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</si>
  <si>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</si>
  <si>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</si>
  <si>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</si>
  <si>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</si>
  <si>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</si>
  <si>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</si>
  <si>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</si>
  <si>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</si>
  <si>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</si>
  <si>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</si>
  <si>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</si>
  <si>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</si>
  <si>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</si>
  <si>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</si>
  <si>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</si>
  <si>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</si>
  <si>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</si>
  <si>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</si>
  <si>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</si>
  <si>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</si>
  <si>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</si>
  <si>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</si>
  <si>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</si>
  <si>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</si>
  <si>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</si>
  <si>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</si>
  <si>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</si>
  <si>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</si>
  <si>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</si>
  <si>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</si>
  <si>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</si>
  <si>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</si>
  <si>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</si>
  <si>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</si>
  <si>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</si>
  <si>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</si>
  <si>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</si>
  <si>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</si>
  <si>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</si>
  <si>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</si>
  <si>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</si>
  <si>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</si>
  <si>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</si>
  <si>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</si>
  <si>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</si>
  <si>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</si>
  <si>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</si>
  <si>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</si>
  <si>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</si>
  <si>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</si>
  <si>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</si>
  <si>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</si>
  <si>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</si>
  <si>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</si>
  <si>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</si>
  <si>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</si>
  <si>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</si>
  <si>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</si>
  <si>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</si>
  <si>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</si>
  <si>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</si>
  <si>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</si>
  <si>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</si>
  <si>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</si>
  <si>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</si>
  <si>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</si>
  <si>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</si>
  <si>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</si>
  <si>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</si>
  <si>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</si>
  <si>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</si>
  <si>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</si>
  <si>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</si>
  <si>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</si>
  <si>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</si>
  <si>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</si>
  <si>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</si>
  <si>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</si>
  <si>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</si>
  <si>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</si>
  <si>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</si>
  <si>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</si>
  <si>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</si>
  <si>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</si>
  <si>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</si>
  <si>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</si>
  <si>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</si>
  <si>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</si>
  <si>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</si>
  <si>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</si>
  <si>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</si>
  <si>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</si>
  <si>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</si>
  <si>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</si>
  <si>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</si>
  <si>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</si>
  <si>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</si>
  <si>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</si>
  <si>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</si>
  <si>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</si>
  <si>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</si>
  <si>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</si>
  <si>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</si>
  <si>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</si>
  <si>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</si>
  <si>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</si>
  <si>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</si>
  <si>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</si>
  <si>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</si>
  <si>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</si>
  <si>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</si>
  <si>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</si>
  <si>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</si>
  <si>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</si>
  <si>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</si>
  <si>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</si>
  <si>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</si>
  <si>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</si>
  <si>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</si>
  <si>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</si>
  <si>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</si>
  <si>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</si>
  <si>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</si>
  <si>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</si>
  <si>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</si>
  <si>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</si>
  <si>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</si>
  <si>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</si>
  <si>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</si>
  <si>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</si>
  <si>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</si>
  <si>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</si>
  <si>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</si>
  <si>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</si>
  <si>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</si>
  <si>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</si>
  <si>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</si>
  <si>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</si>
  <si>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</si>
  <si>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</si>
  <si>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</si>
  <si>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</si>
  <si>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</si>
  <si>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</si>
  <si>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</si>
  <si>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</si>
  <si>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</si>
  <si>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</si>
  <si>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</si>
  <si>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</si>
  <si>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</si>
  <si>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</si>
  <si>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</si>
  <si>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</si>
  <si>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</si>
  <si>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</si>
  <si>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</si>
  <si>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</si>
  <si>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</si>
  <si>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</si>
  <si>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</si>
  <si>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</si>
  <si>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</si>
  <si>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</si>
  <si>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</si>
  <si>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</si>
  <si>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</si>
  <si>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</si>
  <si>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</si>
  <si>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</si>
  <si>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</si>
  <si>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</si>
  <si>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</si>
  <si>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</si>
  <si>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</si>
  <si>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</si>
  <si>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</si>
  <si>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</si>
  <si>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</si>
  <si>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</si>
  <si>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</si>
  <si>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</si>
  <si>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</si>
  <si>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</si>
  <si>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</si>
  <si>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</si>
  <si>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</si>
  <si>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</si>
  <si>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</si>
  <si>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</si>
  <si>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</si>
  <si>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</si>
  <si>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</si>
  <si>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</si>
  <si>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</si>
  <si>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</si>
  <si>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</si>
  <si>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</si>
  <si>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</si>
  <si>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</si>
  <si>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</si>
  <si>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</si>
  <si>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</si>
  <si>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</si>
  <si>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</si>
  <si>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</si>
  <si>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</si>
  <si>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</si>
  <si>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</si>
  <si>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</si>
  <si>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</si>
  <si>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</si>
  <si>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</si>
  <si>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</si>
  <si>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</si>
  <si>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</si>
  <si>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</si>
  <si>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</si>
  <si>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</si>
  <si>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</si>
  <si>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</si>
  <si>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</si>
  <si>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</si>
  <si>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</si>
  <si>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</si>
  <si>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</si>
  <si>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</si>
  <si>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</si>
  <si>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</si>
  <si>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</si>
  <si>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</si>
  <si>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</si>
  <si>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</si>
  <si>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</si>
  <si>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</si>
  <si>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</si>
  <si>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</si>
  <si>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</si>
  <si>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</si>
  <si>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</si>
  <si>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</si>
  <si>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</si>
  <si>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</si>
  <si>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</si>
  <si>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</si>
  <si>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</si>
  <si>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</si>
  <si>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</si>
  <si>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</si>
  <si>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</si>
  <si>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</si>
  <si>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</si>
  <si>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</si>
  <si>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</si>
  <si>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</si>
  <si>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</si>
  <si>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</si>
  <si>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</si>
  <si>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</si>
  <si>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</si>
  <si>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</si>
  <si>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</si>
  <si>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</si>
  <si>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</si>
  <si>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</si>
  <si>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</si>
  <si>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</si>
  <si>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</si>
  <si>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</si>
  <si>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</si>
  <si>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</si>
  <si>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</si>
  <si>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</si>
  <si>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</si>
  <si>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</si>
  <si>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</si>
  <si>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</si>
  <si>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</si>
  <si>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</si>
  <si>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</si>
  <si>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</si>
  <si>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</si>
  <si>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</si>
  <si>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</si>
  <si>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</si>
  <si>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</si>
  <si>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</si>
  <si>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</si>
  <si>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</si>
  <si>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</si>
  <si>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</si>
  <si>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</si>
  <si>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</si>
  <si>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</si>
  <si>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</si>
  <si>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</si>
  <si>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</si>
  <si>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</si>
  <si>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</si>
  <si>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</si>
  <si>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</si>
  <si>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</si>
  <si>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</si>
  <si>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</si>
  <si>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</si>
  <si>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</si>
  <si>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</si>
  <si>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</si>
  <si>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</si>
  <si>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</si>
  <si>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</si>
  <si>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</si>
  <si>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</si>
  <si>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</si>
  <si>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</si>
  <si>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</si>
  <si>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</si>
  <si>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</si>
  <si>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</si>
  <si>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</si>
  <si>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</si>
  <si>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</si>
  <si>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</si>
  <si>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</si>
  <si>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</si>
  <si>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</si>
  <si>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</si>
  <si>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</si>
  <si>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</si>
  <si>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</si>
  <si>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</si>
  <si>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</si>
  <si>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</si>
  <si>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</si>
  <si>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</si>
  <si>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</si>
  <si>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</si>
  <si>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</si>
  <si>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</si>
  <si>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</si>
  <si>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</si>
  <si>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</si>
  <si>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</si>
  <si>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</si>
  <si>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</si>
  <si>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</si>
  <si>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</si>
  <si>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</si>
  <si>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</si>
  <si>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</si>
  <si>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</si>
  <si>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</si>
  <si>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</si>
  <si>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</si>
  <si>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</si>
  <si>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</si>
  <si>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</si>
  <si>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</si>
  <si>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</si>
  <si>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</si>
  <si>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</si>
  <si>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</si>
  <si>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</si>
  <si>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</si>
  <si>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</si>
  <si>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</si>
  <si>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</si>
  <si>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</si>
  <si>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</si>
  <si>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</si>
  <si>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</si>
  <si>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</si>
  <si>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</si>
  <si>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</si>
  <si>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</si>
  <si>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</si>
  <si>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</si>
  <si>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</si>
  <si>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</si>
  <si>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</si>
  <si>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</si>
  <si>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</si>
  <si>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</si>
  <si>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</si>
  <si>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</si>
  <si>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</si>
  <si>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</si>
  <si>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</si>
  <si>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</si>
  <si>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</si>
  <si>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</si>
  <si>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</si>
  <si>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</si>
  <si>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</si>
  <si>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</si>
  <si>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</si>
  <si>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</si>
  <si>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</si>
  <si>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</si>
  <si>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</si>
  <si>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</si>
  <si>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30985345</t>
  </si>
  <si>
    <t>ООО "Тепловые сети Находка"</t>
  </si>
  <si>
    <t>2508128156</t>
  </si>
  <si>
    <t>25-02-2022 00:00:00</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</si>
  <si>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</si>
  <si>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</si>
  <si>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</si>
  <si>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</si>
  <si>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</si>
  <si>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</si>
  <si>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</si>
  <si>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</si>
  <si>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</si>
  <si>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</si>
  <si>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</si>
  <si>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</si>
  <si>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</si>
  <si>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</si>
  <si>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</si>
  <si>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</si>
  <si>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</si>
  <si>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</si>
  <si>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</si>
  <si>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</si>
  <si>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</si>
  <si>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</si>
  <si>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</si>
  <si>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</si>
  <si>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</si>
  <si>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</si>
  <si>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</si>
  <si>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</si>
  <si>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</si>
  <si>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</si>
  <si>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</si>
  <si>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</si>
  <si>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</si>
  <si>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</si>
  <si>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</si>
  <si>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</si>
  <si>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</si>
  <si>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</si>
  <si>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</si>
  <si>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</si>
  <si>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</si>
  <si>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</si>
  <si>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</si>
  <si>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</si>
  <si>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</si>
  <si>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</si>
  <si>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</si>
  <si>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</si>
  <si>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</si>
  <si>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</si>
  <si>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</si>
  <si>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</si>
  <si>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</si>
  <si>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</si>
  <si>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</si>
  <si>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</si>
  <si>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</si>
  <si>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</si>
  <si>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</si>
  <si>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</si>
  <si>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</si>
  <si>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</si>
  <si>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</si>
  <si>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</si>
  <si>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</si>
  <si>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</si>
  <si>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</si>
  <si>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</si>
  <si>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</si>
  <si>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</si>
  <si>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</si>
  <si>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</si>
  <si>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</si>
  <si>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</si>
  <si>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</si>
  <si>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</si>
  <si>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</si>
  <si>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</si>
  <si>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</si>
  <si>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</si>
  <si>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</si>
  <si>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</si>
  <si>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</si>
  <si>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</si>
  <si>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</si>
  <si>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</si>
  <si>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</si>
  <si>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</si>
  <si>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</si>
  <si>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</si>
  <si>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</si>
  <si>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</si>
  <si>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</si>
  <si>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</si>
  <si>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</si>
  <si>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</si>
  <si>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</si>
  <si>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</si>
  <si>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</si>
  <si>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</si>
  <si>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</si>
  <si>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</si>
  <si>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</si>
  <si>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</si>
  <si>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</si>
  <si>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</si>
  <si>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</si>
  <si>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</si>
  <si>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</si>
  <si>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</si>
  <si>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</si>
  <si>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</si>
  <si>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</si>
  <si>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</si>
  <si>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</si>
  <si>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</si>
  <si>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</si>
  <si>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</si>
  <si>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</si>
  <si>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</si>
  <si>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</si>
  <si>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</si>
  <si>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</si>
  <si>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</si>
  <si>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</si>
  <si>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</si>
  <si>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</si>
  <si>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</si>
  <si>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</si>
  <si>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</si>
  <si>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</si>
  <si>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</si>
  <si>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</si>
  <si>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</si>
  <si>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</si>
  <si>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</si>
  <si>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</si>
  <si>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</si>
  <si>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</si>
  <si>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</si>
  <si>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</si>
  <si>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</si>
  <si>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</si>
  <si>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</si>
  <si>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</si>
  <si>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</si>
  <si>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</si>
  <si>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</si>
  <si>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</si>
  <si>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</si>
  <si>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</si>
  <si>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</si>
  <si>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</si>
  <si>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</si>
  <si>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</si>
  <si>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</si>
  <si>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</si>
  <si>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</si>
  <si>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</si>
  <si>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</si>
  <si>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</si>
  <si>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</si>
  <si>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</si>
  <si>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</si>
  <si>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</si>
  <si>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</si>
  <si>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</si>
  <si>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</si>
  <si>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</si>
  <si>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</si>
  <si>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</si>
  <si>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</si>
  <si>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</si>
  <si>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</si>
  <si>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</si>
  <si>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</si>
  <si>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</si>
  <si>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</si>
  <si>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</si>
  <si>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</si>
  <si>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</si>
  <si>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</si>
  <si>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</si>
  <si>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</si>
  <si>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</si>
  <si>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</si>
  <si>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</si>
  <si>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</si>
  <si>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</si>
  <si>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</si>
  <si>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</si>
  <si>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</si>
  <si>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</si>
  <si>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</si>
  <si>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</si>
  <si>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</si>
  <si>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</si>
  <si>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</si>
  <si>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</si>
  <si>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</si>
  <si>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</si>
  <si>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</si>
  <si>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</si>
  <si>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</si>
  <si>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</si>
  <si>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</si>
  <si>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</si>
  <si>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</si>
  <si>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</si>
  <si>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</si>
  <si>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</si>
  <si>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</si>
  <si>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</si>
  <si>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</si>
  <si>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</si>
  <si>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</si>
  <si>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</si>
  <si>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</si>
  <si>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</si>
  <si>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</si>
  <si>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</si>
  <si>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</si>
  <si>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</si>
  <si>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</si>
  <si>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04-12-2024 00:00:00</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</si>
  <si>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</si>
  <si>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</si>
  <si>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</si>
  <si>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</si>
  <si>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</si>
  <si>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</si>
  <si>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</si>
  <si>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</si>
  <si>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</si>
  <si>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</si>
  <si>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</si>
  <si>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</si>
  <si>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</si>
  <si>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</si>
  <si>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</si>
  <si>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</si>
  <si>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</si>
  <si>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</si>
  <si>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</si>
  <si>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</si>
  <si>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</si>
  <si>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</si>
  <si>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</si>
  <si>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</si>
  <si>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</si>
  <si>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</si>
  <si>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</si>
  <si>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</si>
  <si>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</si>
  <si>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</si>
  <si>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</si>
  <si>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</si>
  <si>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</si>
  <si>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</si>
  <si>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</si>
  <si>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</si>
  <si>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</si>
  <si>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</si>
  <si>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</si>
  <si>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</si>
  <si>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</si>
  <si>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</si>
  <si>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</si>
  <si>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</si>
  <si>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</si>
  <si>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</si>
  <si>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</si>
  <si>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</si>
  <si>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</si>
  <si>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</si>
  <si>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</si>
  <si>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</si>
  <si>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</si>
  <si>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</si>
  <si>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</si>
  <si>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</si>
  <si>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</si>
  <si>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</si>
  <si>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</si>
  <si>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</si>
  <si>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</si>
  <si>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</si>
  <si>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</si>
  <si>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</si>
  <si>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</si>
  <si>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</si>
  <si>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</si>
  <si>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</si>
  <si>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</si>
  <si>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</si>
  <si>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</si>
  <si>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</si>
  <si>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</si>
  <si>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</si>
  <si>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</si>
  <si>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</si>
  <si>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</si>
  <si>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</si>
  <si>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</si>
  <si>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</si>
  <si>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</si>
  <si>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</si>
  <si>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</si>
  <si>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</si>
  <si>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</si>
  <si>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</si>
  <si>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</si>
  <si>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</si>
  <si>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</si>
  <si>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</si>
  <si>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</si>
  <si>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</si>
  <si>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</si>
  <si>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</si>
  <si>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</si>
  <si>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</si>
  <si>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</si>
  <si>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</si>
  <si>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</si>
  <si>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</si>
  <si>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</si>
  <si>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</si>
  <si>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</si>
  <si>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</si>
  <si>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</si>
  <si>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</si>
  <si>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</si>
  <si>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</si>
  <si>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</si>
  <si>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</si>
  <si>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</si>
  <si>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</si>
  <si>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</si>
  <si>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</si>
  <si>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</si>
  <si>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</si>
  <si>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</si>
  <si>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</si>
  <si>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</si>
  <si>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</si>
  <si>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</si>
  <si>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</si>
  <si>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</si>
  <si>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</si>
  <si>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</si>
  <si>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</si>
  <si>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</si>
  <si>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</si>
  <si>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</si>
  <si>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</si>
  <si>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</si>
  <si>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</si>
  <si>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</si>
  <si>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</si>
  <si>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</si>
  <si>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</si>
  <si>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</si>
  <si>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</si>
  <si>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</si>
  <si>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</si>
  <si>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</si>
  <si>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</si>
  <si>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</si>
  <si>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</si>
  <si>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</si>
  <si>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</si>
  <si>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</si>
  <si>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</si>
  <si>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</si>
  <si>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</si>
  <si>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</si>
  <si>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</si>
  <si>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</si>
  <si>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</si>
  <si>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</si>
  <si>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</si>
  <si>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</si>
  <si>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</si>
  <si>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</si>
  <si>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</si>
  <si>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</si>
  <si>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</si>
  <si>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</si>
  <si>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</si>
  <si>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</si>
  <si>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</si>
  <si>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</si>
  <si>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</si>
  <si>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</si>
  <si>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</si>
  <si>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</si>
  <si>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</si>
  <si>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</si>
  <si>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</si>
  <si>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</si>
  <si>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</si>
  <si>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</si>
  <si>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</si>
  <si>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</si>
  <si>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</si>
  <si>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</si>
  <si>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</si>
  <si>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</si>
  <si>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</si>
  <si>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</si>
  <si>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</si>
  <si>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</si>
  <si>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</si>
  <si>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</si>
  <si>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</si>
  <si>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</si>
  <si>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</si>
  <si>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</si>
  <si>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</si>
  <si>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</si>
  <si>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</si>
  <si>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</si>
  <si>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</si>
  <si>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</si>
  <si>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</si>
  <si>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</si>
  <si>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</si>
  <si>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</si>
  <si>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</si>
  <si>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</si>
  <si>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</si>
  <si>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</si>
  <si>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</si>
  <si>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</si>
  <si>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</si>
  <si>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</si>
  <si>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</si>
  <si>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</si>
  <si>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</si>
  <si>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</si>
  <si>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</si>
  <si>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</si>
  <si>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</si>
  <si>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</si>
  <si>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</si>
  <si>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</si>
  <si>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</si>
  <si>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</si>
  <si>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</si>
  <si>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</si>
  <si>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</si>
  <si>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</si>
  <si>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</si>
  <si>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</si>
  <si>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</si>
  <si>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</si>
  <si>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</si>
  <si>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</si>
  <si>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</si>
  <si>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</si>
  <si>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</si>
  <si>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</si>
  <si>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</si>
  <si>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</si>
  <si>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</si>
  <si>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</si>
  <si>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</si>
  <si>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</si>
  <si>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</si>
  <si>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</si>
  <si>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</si>
  <si>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</si>
  <si>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</si>
  <si>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</si>
  <si>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</si>
  <si>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</si>
  <si>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</si>
  <si>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</si>
  <si>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</si>
  <si>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</si>
  <si>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</si>
  <si>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</si>
  <si>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</si>
  <si>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</si>
  <si>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</si>
  <si>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</si>
  <si>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</si>
  <si>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</si>
  <si>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</si>
  <si>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</si>
  <si>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</si>
  <si>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</si>
  <si>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</si>
  <si>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</si>
  <si>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</si>
  <si>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</si>
  <si>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</si>
  <si>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</si>
  <si>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</si>
  <si>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</si>
  <si>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</si>
  <si>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</si>
  <si>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</si>
  <si>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</si>
  <si>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</si>
  <si>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</si>
  <si>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</si>
  <si>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</si>
  <si>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</si>
  <si>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</si>
  <si>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</si>
  <si>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</si>
  <si>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</si>
  <si>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</si>
  <si>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</si>
  <si>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</si>
  <si>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</si>
  <si>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</si>
  <si>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</si>
  <si>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</si>
  <si>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</si>
  <si>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</si>
  <si>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</si>
  <si>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</si>
  <si>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</si>
  <si>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</si>
  <si>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</si>
  <si>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</si>
  <si>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</si>
  <si>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</si>
  <si>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</si>
  <si>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</si>
  <si>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</si>
  <si>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</si>
  <si>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</si>
  <si>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</si>
  <si>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</si>
  <si>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</si>
  <si>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</si>
  <si>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</si>
  <si>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</si>
  <si>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</si>
  <si>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</si>
  <si>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</si>
  <si>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</si>
  <si>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</si>
  <si>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</si>
  <si>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</si>
  <si>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</si>
  <si>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</si>
  <si>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</si>
  <si>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</si>
  <si>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</si>
  <si>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</si>
  <si>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</si>
  <si>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</si>
  <si>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</si>
  <si>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</si>
  <si>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</si>
  <si>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</si>
  <si>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</si>
  <si>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</si>
  <si>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</si>
  <si>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</si>
  <si>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</si>
  <si>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</si>
  <si>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</si>
  <si>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</si>
  <si>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</si>
  <si>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</si>
  <si>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</si>
  <si>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</si>
  <si>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</si>
  <si>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</si>
  <si>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</si>
  <si>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</si>
  <si>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</si>
  <si>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</si>
  <si>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</si>
  <si>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</si>
  <si>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</si>
  <si>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</si>
  <si>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</si>
  <si>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</si>
  <si>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</si>
  <si>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</si>
  <si>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</si>
  <si>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</si>
  <si>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</si>
  <si>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</si>
  <si>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</si>
  <si>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</si>
  <si>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</si>
  <si>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</si>
  <si>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</si>
  <si>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</si>
  <si>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</si>
  <si>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</si>
  <si>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</si>
  <si>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</si>
  <si>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</si>
  <si>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</si>
  <si>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</si>
  <si>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</si>
  <si>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</si>
  <si>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</si>
  <si>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</si>
  <si>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</si>
  <si>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</si>
  <si>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</si>
  <si>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</si>
  <si>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</si>
  <si>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</si>
  <si>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</si>
  <si>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</si>
  <si>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</si>
  <si>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</si>
  <si>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</si>
  <si>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</si>
  <si>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</si>
  <si>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</si>
  <si>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</si>
  <si>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</si>
  <si>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</si>
  <si>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</si>
  <si>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</si>
  <si>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</si>
  <si>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</si>
  <si>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</si>
  <si>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</si>
  <si>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</si>
  <si>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</si>
  <si>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</si>
  <si>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</si>
  <si>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</si>
  <si>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</si>
  <si>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</si>
  <si>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</si>
  <si>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</si>
  <si>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</si>
  <si>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</si>
  <si>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</si>
  <si>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</si>
  <si>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</si>
  <si>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</si>
  <si>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</si>
  <si>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</si>
  <si>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</si>
  <si>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</si>
  <si>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</si>
  <si>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</si>
  <si>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</si>
  <si>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</si>
  <si>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</si>
  <si>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</si>
  <si>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</si>
  <si>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</si>
  <si>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</si>
  <si>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</si>
  <si>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</si>
  <si>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</si>
  <si>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</si>
  <si>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</si>
  <si>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</si>
  <si>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</si>
  <si>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</si>
  <si>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</si>
  <si>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</si>
  <si>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</si>
  <si>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</si>
  <si>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</si>
  <si>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</si>
  <si>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</si>
  <si>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</si>
  <si>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</si>
  <si>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</si>
  <si>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</si>
  <si>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</si>
  <si>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</si>
  <si>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</si>
  <si>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</si>
  <si>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</si>
  <si>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</si>
  <si>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</si>
  <si>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</si>
  <si>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</si>
  <si>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</si>
  <si>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</si>
  <si>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</si>
  <si>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</si>
  <si>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</si>
  <si>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</si>
  <si>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</si>
  <si>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</si>
  <si>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</si>
  <si>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</si>
  <si>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</si>
  <si>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</si>
  <si>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</si>
  <si>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</si>
  <si>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</si>
  <si>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</si>
  <si>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</si>
  <si>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</si>
  <si>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</si>
  <si>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</si>
  <si>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</si>
  <si>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</si>
  <si>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</si>
  <si>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</si>
  <si>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</si>
  <si>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</si>
  <si>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</si>
  <si>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</si>
  <si>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</si>
  <si>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</si>
  <si>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</si>
  <si>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</si>
  <si>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</si>
  <si>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</si>
  <si>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</si>
  <si>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</si>
  <si>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</si>
  <si>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</si>
  <si>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</si>
  <si>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</si>
  <si>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</si>
  <si>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</si>
  <si>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</si>
  <si>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</si>
  <si>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</si>
  <si>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</si>
  <si>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</si>
  <si>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</si>
  <si>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</si>
  <si>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</si>
  <si>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</si>
  <si>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</si>
  <si>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</si>
  <si>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</si>
  <si>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</si>
  <si>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</si>
  <si>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</si>
  <si>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</si>
  <si>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</si>
  <si>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</si>
  <si>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</si>
  <si>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</si>
  <si>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</si>
  <si>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</si>
  <si>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</si>
  <si>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</si>
  <si>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</si>
  <si>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</si>
  <si>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</si>
  <si>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</si>
  <si>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</si>
  <si>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</si>
  <si>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</si>
  <si>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</si>
  <si>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</si>
  <si>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</si>
  <si>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</si>
  <si>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</si>
  <si>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</si>
  <si>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</si>
  <si>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</si>
  <si>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</si>
  <si>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</si>
  <si>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</si>
  <si>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</si>
  <si>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</si>
  <si>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</si>
  <si>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</si>
  <si>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</si>
  <si>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</si>
  <si>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</si>
  <si>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</si>
  <si>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</si>
  <si>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</si>
  <si>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</si>
  <si>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</si>
  <si>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</si>
  <si>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</si>
  <si>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</si>
  <si>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</si>
  <si>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</si>
  <si>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</si>
  <si>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</si>
  <si>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</si>
  <si>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</si>
  <si>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</si>
  <si>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</si>
  <si>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</si>
  <si>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</si>
  <si>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</si>
  <si>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</si>
  <si>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</si>
  <si>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</si>
  <si>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</si>
  <si>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</si>
  <si>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</si>
  <si>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</si>
  <si>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</si>
  <si>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</si>
  <si>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</si>
  <si>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</si>
  <si>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</si>
  <si>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</si>
  <si>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Чугуевский муниципальный округ</t>
  </si>
  <si>
    <t>05555000</t>
  </si>
  <si>
    <t>88</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</si>
  <si>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</si>
  <si>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</si>
  <si>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</si>
  <si>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</si>
  <si>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</si>
  <si>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</si>
  <si>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</si>
  <si>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</si>
  <si>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</si>
  <si>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</si>
  <si>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</si>
  <si>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</si>
  <si>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</si>
  <si>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</si>
  <si>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</si>
  <si>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</si>
  <si>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</si>
  <si>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</si>
  <si>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</si>
  <si>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</si>
  <si>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</si>
  <si>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</si>
  <si>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</si>
  <si>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</si>
  <si>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</si>
  <si>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</si>
  <si>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</si>
  <si>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</si>
  <si>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</si>
  <si>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</si>
  <si>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</si>
  <si>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</si>
  <si>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</si>
  <si>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</si>
  <si>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</si>
  <si>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</si>
  <si>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</si>
  <si>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</si>
  <si>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</si>
  <si>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</si>
  <si>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</si>
  <si>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</si>
  <si>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</si>
  <si>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</si>
  <si>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</si>
  <si>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</si>
  <si>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</si>
  <si>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</si>
  <si>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</si>
  <si>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</si>
  <si>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</si>
  <si>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</si>
  <si>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</si>
  <si>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</si>
  <si>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</si>
  <si>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</si>
  <si>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19-219/2 от 28.10.2021 КГУП "Примтеплоэнерго" в сфере холодного водоснабжения по модернизации и реконструкции объектов централизованной системы водоснабжения, на территории муниципального округа Шкотовский на 2022-2029 годы</t>
  </si>
  <si>
    <t>31.12.2029</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</si>
  <si>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</si>
  <si>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</si>
  <si>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</si>
  <si>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01.01.2024</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</si>
  <si>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</si>
  <si>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</si>
  <si>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</si>
  <si>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 пр.19-277/2 от 19.09.2024 КГУП Приморский водоканал в сфере водоснабжения и водоотведения по комплексному развитию системы водоcнабжения и водоотведения, на территории городского округа Владивостокский на 2024-2027 годы</t>
  </si>
  <si>
    <t>19.09.2024</t>
  </si>
  <si>
    <t>31.12.2027</t>
  </si>
  <si>
    <t>Инвестиционная программа от 01.03.2024 КГУП Приморский водоканал в сфере водоснабжения по комплексному развитию единого комплекса объектов, на территории городского округа городской округ Большой Камень на 2024-2025 годы</t>
  </si>
  <si>
    <t>01.03.2024</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</si>
  <si>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</si>
  <si>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</si>
  <si>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</si>
  <si>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</si>
  <si>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</si>
  <si>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</si>
  <si>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</si>
  <si>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</si>
  <si>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</si>
  <si>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</si>
  <si>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</si>
  <si>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15.09.2023 МУП Находка-Водоканал в сфере водоснабжения и водоотведения по модернизации и строительству объектов, на территории городского округа Находкинский на 2024-2026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</si>
  <si>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</si>
  <si>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</si>
  <si>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18.08.2023 Индивидуальный предприниматель Клемба Дмитрий Иванович в сфере холодного водоснабжения по приведению качества питьевой воды в соответствие с установленными требованиями единого комплекса объектов, на территории муниципального округа Красноармейский на 2023-2027 годы</t>
  </si>
  <si>
    <t>18.08.2023</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</si>
  <si>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</si>
  <si>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</si>
  <si>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</si>
  <si>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</si>
  <si>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</si>
  <si>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</si>
  <si>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31.12.2023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</si>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</sst>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000000"/>
    <numFmt numFmtId="227" formatCode="#,##0.000"/>
    <numFmt numFmtId="228" formatCode="#,##0.0000"/>
    <numFmt numFmtId="229" formatCode="dd\.mm\.yyyy"/>
    <numFmt numFmtId="230" formatCode="h:mm;@"/>
    <numFmt numFmtId="231" formatCode="_-* #,##0.00\ _₽_-;\-* #,##0.00\ _₽_-;_-* &quot;-&quot;??\ _₽_-;_-@_-"/>
    <numFmt numFmtId="232" formatCode="_-* #,##0\ _₽_-;\-* #,##0\ _₽_-;_-* &quot;-&quot;\ _₽_-;_-@_-"/>
    <numFmt numFmtId="233" formatCode="_-* #,##0.00\ &quot;₽&quot;_-;\-* #,##0.00\ &quot;₽&quot;_-;_-* &quot;-&quot;??\ &quot;₽&quot;_-;_-@_-"/>
    <numFmt numFmtId="234" formatCode="_-* #,##0\ &quot;₽&quot;_-;\-* #,##0\ &quot;₽&quot;_-;_-* &quot;-&quot;\ &quot;₽&quot;_-;_-@_-"/>
    <numFmt numFmtId="235" formatCode="_-* #,##0.00[$€-1]_-;\-* #,##0.00[$€-1]_-;_-* &quot;-&quot;??[$€-1]_-"/>
    <numFmt numFmtId="236"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31" fontId="6" fillId="0" borderId="0" applyFont="0" applyFill="0" applyBorder="0" applyNumberFormat="1">
      <alignment vertical="top"/>
    </xf>
    <xf numFmtId="232" fontId="6" fillId="0" borderId="0" applyFont="0" applyFill="0" applyBorder="0" applyNumberFormat="1">
      <alignment vertical="top"/>
    </xf>
    <xf numFmtId="233" fontId="6" fillId="0" borderId="0" applyFont="0" applyFill="0" applyBorder="0" applyNumberFormat="1">
      <alignment vertical="top"/>
    </xf>
    <xf numFmtId="23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5" fontId="20" fillId="0" borderId="0" applyFont="1" applyFill="0" applyBorder="0" applyNumberFormat="1"/>
    <xf numFmtId="38" fontId="21" fillId="0" borderId="0" applyFont="1" applyFill="0" applyBorder="0" applyNumberFormat="1">
      <alignment vertical="top"/>
    </xf>
    <xf numFmtId="236" fontId="22" fillId="33" borderId="0" applyFont="1" applyFill="1" applyBorder="0" applyNumberFormat="1">
      <protection locked="0"/>
    </xf>
    <xf numFmtId="0" fontId="23" fillId="0" borderId="0" applyFont="1" applyFill="0" applyBorder="0">
      <alignment vertical="center"/>
    </xf>
    <xf numFmtId="227" fontId="22" fillId="33" borderId="0" applyFont="1" applyFill="1" applyBorder="0" applyNumberFormat="1">
      <protection locked="0"/>
    </xf>
    <xf numFmtId="22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159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31" fontId="6" fillId="0" borderId="0" xfId="28" applyNumberFormat="1">
      <alignment vertical="top"/>
    </xf>
    <xf numFmtId="232" fontId="6" fillId="0" borderId="0" xfId="29" applyNumberFormat="1">
      <alignment vertical="top"/>
    </xf>
    <xf numFmtId="233" fontId="6" fillId="0" borderId="0" xfId="30" applyNumberFormat="1">
      <alignment vertical="top"/>
    </xf>
    <xf numFmtId="234"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5" fontId="20" fillId="0" borderId="0" xfId="49" applyFont="1" applyNumberFormat="1"/>
    <xf numFmtId="38" fontId="21" fillId="0" borderId="0" xfId="50" applyFont="1" applyNumberFormat="1">
      <alignment vertical="top"/>
    </xf>
    <xf numFmtId="236" fontId="22" fillId="33" borderId="0" xfId="51" applyFont="1" applyFill="1" applyNumberFormat="1">
      <protection locked="0"/>
    </xf>
    <xf numFmtId="0" fontId="23" fillId="0" borderId="0" xfId="52" applyFont="1">
      <alignment vertical="center"/>
    </xf>
    <xf numFmtId="227" fontId="22" fillId="33" borderId="0" xfId="53" applyFont="1" applyFill="1" applyNumberFormat="1">
      <protection locked="0"/>
    </xf>
    <xf numFmtId="22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26"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28"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28"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28"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26"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28"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28" fontId="22" fillId="39" borderId="13" xfId="0" applyFont="1" applyFill="1" applyBorder="1" applyNumberFormat="1">
      <alignment horizontal="right" vertical="center" wrapText="1"/>
      <protection locked="0"/>
    </xf>
    <xf numFmtId="22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7"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27"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27"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2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26"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26"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9" fontId="0" fillId="39" borderId="12" xfId="0" applyFont="1" applyFill="1" applyBorder="1" applyNumberFormat="1">
      <alignment horizontal="left" vertical="center" wrapText="1" indent="1"/>
      <protection locked="0"/>
    </xf>
    <xf numFmtId="229" fontId="0" fillId="0" borderId="12" xfId="0" applyFont="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229" fontId="48" fillId="0" borderId="0" xfId="0" applyFont="1" applyNumberFormat="1">
      <alignment horizontal="center" vertical="center" wrapText="1"/>
    </xf>
    <xf numFmtId="229" fontId="48" fillId="0" borderId="12" xfId="0" applyFont="1" applyBorder="1" applyNumberFormat="1">
      <alignment horizontal="center" vertical="center" wrapText="1"/>
    </xf>
    <xf numFmtId="229" fontId="0" fillId="39" borderId="12" xfId="0" applyFont="1" applyFill="1" applyBorder="1" applyNumberFormat="1">
      <alignment horizontal="left" vertical="center" wrapText="1"/>
      <protection locked="0"/>
    </xf>
    <xf numFmtId="229" fontId="0" fillId="36" borderId="12" xfId="0" applyFont="1" applyFill="1" applyBorder="1" applyNumberFormat="1">
      <alignment horizontal="left" vertical="center" wrapText="1" indent="1"/>
      <protection locked="0"/>
    </xf>
    <xf numFmtId="229"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29" fontId="0" fillId="39" borderId="14" xfId="0" applyFont="1" applyFill="1" applyBorder="1" applyNumberFormat="1">
      <alignment horizontal="left" vertical="center" wrapText="1"/>
      <protection locked="0"/>
    </xf>
    <xf numFmtId="22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26"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26"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230" fontId="22" fillId="39" borderId="12" xfId="0" applyFont="1" applyFill="1" applyBorder="1" applyNumberFormat="1">
      <alignment horizontal="left" vertical="center" wrapText="1" indent="1"/>
      <protection locked="0"/>
    </xf>
    <xf numFmtId="22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29"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29" fontId="22" fillId="34"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26" fontId="22" fillId="0" borderId="17"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226"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2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9"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2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61"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61"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29" fontId="0" fillId="39" borderId="12" xfId="0" applyFont="1" applyFill="1" applyBorder="1" applyNumberFormat="1">
      <alignment horizontal="center" vertical="center" wrapText="1"/>
      <protection locked="0"/>
    </xf>
    <xf numFmtId="229"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0" fillId="0" borderId="0" xfId="0" applyFont="1" applyNumberFormat="1">
      <alignment vertical="top"/>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pravo.gov.ru" TargetMode="External"/><Relationship Id="rId5" Type="http://schemas.openxmlformats.org/officeDocument/2006/relationships/hyperlink" Target="http://pravo.gov.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www.primtep.ru/" TargetMode="External"/><Relationship Id="rId3" Type="http://schemas.openxmlformats.org/officeDocument/2006/relationships/hyperlink" Target="https://portal.eias.ru/Portal/DownloadPage.aspx?type=12&amp;guid=ba4e3238-a171-44d0-b6f9-505ef1a17057" TargetMode="External"/><Relationship Id="rId4" Type="http://schemas.openxmlformats.org/officeDocument/2006/relationships/hyperlink" Target="https://portal.eias.ru/Portal/DownloadPage.aspx?type=12&amp;guid=e4017692-c2df-404f-adda-b15dc5832cd8" TargetMode="External"/><Relationship Id="rId5" Type="http://schemas.openxmlformats.org/officeDocument/2006/relationships/hyperlink" Target="https://portal.eias.ru/Portal/DownloadPage.aspx?type=12&amp;guid=e4017692-c2df-404f-adda-b15dc583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D99311-E36E-F9D3-F2C2-DAB2647BD15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0757" width="5.421875" customWidth="1"/>
    <col min="2" max="2" style="50757" width="9.140625" customWidth="1"/>
    <col min="3" max="3" style="50757" width="16.421875" customWidth="1"/>
    <col min="4" max="25" style="50757" width="6.28125" customWidth="1"/>
    <col min="26" max="28" style="50757" width="11.00390625"/>
  </cols>
  <sheetData>
    <row customHeight="1" ht="15.75">
      <c r="A1" s="2212"/>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4"/>
      <c r="Z1" s="2213"/>
      <c r="AA1" s="2215" t="s">
        <v>0</v>
      </c>
      <c r="AB1" s="2213"/>
    </row>
    <row customHeight="1" ht="17.25">
      <c r="A2" s="2213"/>
      <c r="B2" s="2589" t="s">
        <v>1</v>
      </c>
      <c r="C2" s="2589"/>
      <c r="D2" s="2589"/>
      <c r="E2" s="2589"/>
      <c r="F2" s="2589"/>
      <c r="G2" s="2589"/>
      <c r="H2" s="2589"/>
      <c r="I2" s="2589"/>
      <c r="J2" s="2589"/>
      <c r="K2" s="2589"/>
      <c r="L2" s="2589"/>
      <c r="M2" s="2589"/>
      <c r="N2" s="2589"/>
      <c r="O2" s="2589"/>
      <c r="P2" s="2589"/>
      <c r="Q2" s="2217"/>
      <c r="R2" s="2217"/>
      <c r="S2" s="2217"/>
      <c r="T2" s="2217"/>
      <c r="U2" s="2217"/>
      <c r="V2" s="2218"/>
      <c r="W2" s="2217"/>
      <c r="X2" s="2217"/>
      <c r="Y2" s="2214"/>
      <c r="Z2" s="2213"/>
      <c r="AA2" s="2215"/>
      <c r="AB2" s="2213"/>
    </row>
    <row customHeight="1" ht="15.75">
      <c r="A3" s="2213"/>
      <c r="B3" s="2590" t="s">
        <v>2</v>
      </c>
      <c r="C3" s="2590"/>
      <c r="D3" s="2590"/>
      <c r="E3" s="2590"/>
      <c r="F3" s="2590"/>
      <c r="G3" s="2590"/>
      <c r="H3" s="2590"/>
      <c r="I3" s="2590"/>
      <c r="J3" s="2590"/>
      <c r="K3" s="2590"/>
      <c r="L3" s="2590"/>
      <c r="M3" s="2590"/>
      <c r="N3" s="2590"/>
      <c r="O3" s="2590"/>
      <c r="P3" s="2590"/>
      <c r="Q3" s="2218"/>
      <c r="R3" s="2218"/>
      <c r="S3" s="2217"/>
      <c r="T3" s="2217"/>
      <c r="U3" s="2217"/>
      <c r="V3" s="2218"/>
      <c r="W3" s="2218"/>
      <c r="X3" s="2218"/>
      <c r="Y3" s="2218"/>
      <c r="Z3" s="2213"/>
      <c r="AA3" s="2215"/>
      <c r="AB3" s="2213"/>
    </row>
    <row customHeight="1" ht="17.25">
      <c r="A4" s="2213"/>
      <c r="B4" s="2219"/>
      <c r="C4" s="2213"/>
      <c r="D4" s="2218"/>
      <c r="E4" s="2218"/>
      <c r="F4" s="2218"/>
      <c r="G4" s="2218"/>
      <c r="H4" s="2218"/>
      <c r="I4" s="2218"/>
      <c r="J4" s="2218"/>
      <c r="K4" s="2218"/>
      <c r="L4" s="2218"/>
      <c r="M4" s="2218"/>
      <c r="N4" s="2218"/>
      <c r="O4" s="2218"/>
      <c r="P4" s="2218"/>
      <c r="Q4" s="2218"/>
      <c r="R4" s="2218"/>
      <c r="S4" s="2218"/>
      <c r="T4" s="2218"/>
      <c r="U4" s="2218"/>
      <c r="V4" s="2218"/>
      <c r="W4" s="2218"/>
      <c r="X4" s="2218"/>
      <c r="Y4" s="2218"/>
      <c r="Z4" s="2213"/>
      <c r="AA4" s="2215"/>
      <c r="AB4" s="2213"/>
    </row>
    <row customHeight="1" ht="22.5">
      <c r="A5" s="2220"/>
      <c r="B5" s="259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592"/>
      <c r="D5" s="2592"/>
      <c r="E5" s="2592"/>
      <c r="F5" s="2592"/>
      <c r="G5" s="2592"/>
      <c r="H5" s="2592"/>
      <c r="I5" s="2592"/>
      <c r="J5" s="2592"/>
      <c r="K5" s="2592"/>
      <c r="L5" s="2592"/>
      <c r="M5" s="2592"/>
      <c r="N5" s="2592"/>
      <c r="O5" s="2592"/>
      <c r="P5" s="2592"/>
      <c r="Q5" s="2592"/>
      <c r="R5" s="2592"/>
      <c r="S5" s="2592"/>
      <c r="T5" s="2592"/>
      <c r="U5" s="2592"/>
      <c r="V5" s="2592"/>
      <c r="W5" s="2592"/>
      <c r="X5" s="2592"/>
      <c r="Y5" s="2593"/>
      <c r="Z5" s="2220"/>
      <c r="AA5" s="2215"/>
      <c r="AB5" s="2220"/>
    </row>
    <row customHeight="1" ht="15">
      <c r="A6" s="2221"/>
      <c r="B6" s="2594" t="s">
        <v>3</v>
      </c>
      <c r="C6" s="2595"/>
      <c r="D6" s="2222"/>
      <c r="E6" s="2222"/>
      <c r="F6" s="2222"/>
      <c r="G6" s="2222"/>
      <c r="H6" s="2222"/>
      <c r="I6" s="2222"/>
      <c r="J6" s="2222"/>
      <c r="K6" s="2222"/>
      <c r="L6" s="2222"/>
      <c r="M6" s="2222"/>
      <c r="N6" s="2222"/>
      <c r="O6" s="2222"/>
      <c r="P6" s="2222"/>
      <c r="Q6" s="2222"/>
      <c r="R6" s="2222"/>
      <c r="S6" s="2222"/>
      <c r="T6" s="2222"/>
      <c r="U6" s="2222"/>
      <c r="V6" s="2222"/>
      <c r="W6" s="2222"/>
      <c r="X6" s="2222"/>
      <c r="Y6" s="2223"/>
      <c r="Z6" s="2224"/>
      <c r="AA6" s="2225"/>
      <c r="AB6" s="2225"/>
    </row>
    <row customHeight="1" ht="15">
      <c r="A7" s="2221"/>
      <c r="B7" s="2594"/>
      <c r="C7" s="2595"/>
      <c r="D7" s="2222"/>
      <c r="E7" s="2222"/>
      <c r="F7" s="2226"/>
      <c r="G7" s="2226"/>
      <c r="H7" s="2226"/>
      <c r="I7" s="2226"/>
      <c r="J7" s="2226"/>
      <c r="K7" s="2226"/>
      <c r="L7" s="2226"/>
      <c r="M7" s="2226"/>
      <c r="N7" s="2226"/>
      <c r="O7" s="2222"/>
      <c r="P7" s="2226"/>
      <c r="Q7" s="2226"/>
      <c r="R7" s="2226"/>
      <c r="S7" s="2226"/>
      <c r="T7" s="2226"/>
      <c r="U7" s="2226"/>
      <c r="V7" s="2226"/>
      <c r="W7" s="2226"/>
      <c r="X7" s="2226"/>
      <c r="Y7" s="2223"/>
      <c r="Z7" s="2224"/>
      <c r="AA7" s="2225"/>
      <c r="AB7" s="2225"/>
    </row>
    <row customHeight="1" ht="15">
      <c r="A8" s="2221"/>
      <c r="B8" s="2594"/>
      <c r="C8" s="2595"/>
      <c r="D8" s="2227"/>
      <c r="E8" s="2228" t="s">
        <v>4</v>
      </c>
      <c r="F8" s="2597" t="s">
        <v>5</v>
      </c>
      <c r="G8" s="2598"/>
      <c r="H8" s="2598"/>
      <c r="I8" s="2598"/>
      <c r="J8" s="2598"/>
      <c r="K8" s="2598"/>
      <c r="L8" s="2598"/>
      <c r="M8" s="2598"/>
      <c r="N8" s="2227"/>
      <c r="O8" s="2229" t="s">
        <v>4</v>
      </c>
      <c r="P8" s="2599" t="s">
        <v>6</v>
      </c>
      <c r="Q8" s="2600"/>
      <c r="R8" s="2600"/>
      <c r="S8" s="2600"/>
      <c r="T8" s="2600"/>
      <c r="U8" s="2600"/>
      <c r="V8" s="2600"/>
      <c r="W8" s="2600"/>
      <c r="X8" s="2600"/>
      <c r="Y8" s="2223"/>
      <c r="Z8" s="2224"/>
      <c r="AA8" s="2225"/>
      <c r="AB8" s="2225"/>
    </row>
    <row customHeight="1" ht="15">
      <c r="A9" s="2221"/>
      <c r="B9" s="2594"/>
      <c r="C9" s="2595"/>
      <c r="D9" s="2227"/>
      <c r="E9" s="2230" t="s">
        <v>4</v>
      </c>
      <c r="F9" s="2597" t="s">
        <v>7</v>
      </c>
      <c r="G9" s="2598"/>
      <c r="H9" s="2598"/>
      <c r="I9" s="2598"/>
      <c r="J9" s="2598"/>
      <c r="K9" s="2598"/>
      <c r="L9" s="2598"/>
      <c r="M9" s="2598"/>
      <c r="N9" s="2227"/>
      <c r="O9" s="2231" t="s">
        <v>4</v>
      </c>
      <c r="P9" s="2599" t="s">
        <v>8</v>
      </c>
      <c r="Q9" s="2600"/>
      <c r="R9" s="2600"/>
      <c r="S9" s="2600"/>
      <c r="T9" s="2600"/>
      <c r="U9" s="2600"/>
      <c r="V9" s="2600"/>
      <c r="W9" s="2600"/>
      <c r="X9" s="2600"/>
      <c r="Y9" s="2223"/>
      <c r="Z9" s="2224"/>
      <c r="AA9" s="2225"/>
      <c r="AB9" s="2225"/>
    </row>
    <row customHeight="1" ht="30">
      <c r="A10" s="2221"/>
      <c r="B10" s="2594"/>
      <c r="C10" s="2596"/>
      <c r="D10" s="2232"/>
      <c r="E10" s="2233"/>
      <c r="F10" s="2226"/>
      <c r="G10" s="2226"/>
      <c r="H10" s="2226"/>
      <c r="I10" s="2226"/>
      <c r="J10" s="2226"/>
      <c r="K10" s="2226"/>
      <c r="L10" s="2226"/>
      <c r="M10" s="2226"/>
      <c r="N10" s="2226"/>
      <c r="O10" s="2233"/>
      <c r="P10" s="2226"/>
      <c r="Q10" s="2226"/>
      <c r="R10" s="2226"/>
      <c r="S10" s="2226"/>
      <c r="T10" s="2226"/>
      <c r="U10" s="2226"/>
      <c r="V10" s="2226"/>
      <c r="W10" s="2226"/>
      <c r="X10" s="2226"/>
      <c r="Y10" s="2223"/>
      <c r="Z10" s="2224"/>
      <c r="AA10" s="2225"/>
      <c r="AB10" s="2225"/>
    </row>
    <row customHeight="1" ht="19.5">
      <c r="A11" s="2221"/>
      <c r="B11" s="2601" t="s">
        <v>9</v>
      </c>
      <c r="C11" s="2602"/>
      <c r="D11" s="2227"/>
      <c r="E11" s="2234"/>
      <c r="F11" s="2234"/>
      <c r="G11" s="2234"/>
      <c r="H11" s="2234"/>
      <c r="I11" s="2234"/>
      <c r="J11" s="2234"/>
      <c r="K11" s="2234"/>
      <c r="L11" s="2234"/>
      <c r="M11" s="2234"/>
      <c r="N11" s="2234"/>
      <c r="O11" s="2234"/>
      <c r="P11" s="2234"/>
      <c r="Q11" s="2234"/>
      <c r="R11" s="2234"/>
      <c r="S11" s="2234"/>
      <c r="T11" s="2234"/>
      <c r="U11" s="2234"/>
      <c r="V11" s="2234"/>
      <c r="W11" s="2234"/>
      <c r="X11" s="2234"/>
      <c r="Y11" s="2223"/>
      <c r="Z11" s="2224"/>
      <c r="AA11" s="2225"/>
      <c r="AB11" s="2225"/>
    </row>
    <row customHeight="1" ht="69">
      <c r="A12" s="2221"/>
      <c r="B12" s="2594"/>
      <c r="C12" s="2596"/>
      <c r="D12" s="2235"/>
      <c r="E12" s="2598" t="s">
        <v>10</v>
      </c>
      <c r="F12" s="2598"/>
      <c r="G12" s="2598"/>
      <c r="H12" s="2598"/>
      <c r="I12" s="2598"/>
      <c r="J12" s="2598"/>
      <c r="K12" s="2598"/>
      <c r="L12" s="2598"/>
      <c r="M12" s="2598"/>
      <c r="N12" s="2598"/>
      <c r="O12" s="2598"/>
      <c r="P12" s="2598"/>
      <c r="Q12" s="2598"/>
      <c r="R12" s="2598"/>
      <c r="S12" s="2598"/>
      <c r="T12" s="2598"/>
      <c r="U12" s="2598"/>
      <c r="V12" s="2598"/>
      <c r="W12" s="2598"/>
      <c r="X12" s="2598"/>
      <c r="Y12" s="2223"/>
      <c r="Z12" s="2224"/>
      <c r="AA12" s="2225"/>
      <c r="AB12" s="2225"/>
    </row>
    <row customHeight="1" ht="15">
      <c r="A13" s="2221"/>
      <c r="B13" s="2601" t="s">
        <v>11</v>
      </c>
      <c r="C13" s="2602"/>
      <c r="D13" s="2222"/>
      <c r="E13" s="2234"/>
      <c r="F13" s="2234"/>
      <c r="G13" s="2234"/>
      <c r="H13" s="2234"/>
      <c r="I13" s="2234"/>
      <c r="J13" s="2234"/>
      <c r="K13" s="2234"/>
      <c r="L13" s="2234"/>
      <c r="M13" s="2234"/>
      <c r="N13" s="2234"/>
      <c r="O13" s="2234"/>
      <c r="P13" s="2234"/>
      <c r="Q13" s="2234"/>
      <c r="R13" s="2234"/>
      <c r="S13" s="2234"/>
      <c r="T13" s="2234"/>
      <c r="U13" s="2234"/>
      <c r="V13" s="2234"/>
      <c r="W13" s="2234"/>
      <c r="X13" s="2234"/>
      <c r="Y13" s="2223"/>
      <c r="Z13" s="2224"/>
      <c r="AA13" s="2225"/>
      <c r="AB13" s="2225"/>
    </row>
    <row customHeight="1" ht="57">
      <c r="A14" s="2221"/>
      <c r="B14" s="2594"/>
      <c r="C14" s="2595"/>
      <c r="D14" s="2227"/>
      <c r="E14" s="2605" t="s">
        <v>12</v>
      </c>
      <c r="F14" s="2605"/>
      <c r="G14" s="2605"/>
      <c r="H14" s="2605"/>
      <c r="I14" s="2605"/>
      <c r="J14" s="2605"/>
      <c r="K14" s="2605"/>
      <c r="L14" s="2605"/>
      <c r="M14" s="2605"/>
      <c r="N14" s="2605"/>
      <c r="O14" s="2605"/>
      <c r="P14" s="2605"/>
      <c r="Q14" s="2605"/>
      <c r="R14" s="2605"/>
      <c r="S14" s="2605"/>
      <c r="T14" s="2605"/>
      <c r="U14" s="2605"/>
      <c r="V14" s="2605"/>
      <c r="W14" s="2605"/>
      <c r="X14" s="2605"/>
      <c r="Y14" s="2223"/>
      <c r="Z14" s="2224"/>
      <c r="AA14" s="2225"/>
      <c r="AB14" s="2225"/>
    </row>
    <row customHeight="1" ht="16.5">
      <c r="A15" s="2221"/>
      <c r="B15" s="2603"/>
      <c r="C15" s="2604"/>
      <c r="D15" s="2236"/>
      <c r="E15" s="2237"/>
      <c r="F15" s="2237"/>
      <c r="G15" s="2237"/>
      <c r="H15" s="2237"/>
      <c r="I15" s="2237"/>
      <c r="J15" s="2237"/>
      <c r="K15" s="2237"/>
      <c r="L15" s="2237"/>
      <c r="M15" s="2237"/>
      <c r="N15" s="2237"/>
      <c r="O15" s="2237"/>
      <c r="P15" s="2237"/>
      <c r="Q15" s="2237"/>
      <c r="R15" s="2237"/>
      <c r="S15" s="2237"/>
      <c r="T15" s="2237"/>
      <c r="U15" s="2237"/>
      <c r="V15" s="2237"/>
      <c r="W15" s="2237"/>
      <c r="X15" s="2237"/>
      <c r="Y15" s="2238"/>
      <c r="Z15" s="2224"/>
      <c r="AA15" s="2239"/>
      <c r="AB15" s="2225"/>
    </row>
    <row customHeight="1" ht="95.25">
      <c r="A16" s="2213"/>
      <c r="B16" s="2605"/>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213"/>
      <c r="AA16" s="2215"/>
      <c r="AB16" s="2213"/>
    </row>
    <row customHeight="1" ht="14.25">
      <c r="A17" s="2213"/>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4"/>
      <c r="Z17" s="2213"/>
      <c r="AA17" s="2215"/>
      <c r="AB17" s="2213"/>
    </row>
    <row customHeight="1" ht="14.25">
      <c r="A18" s="2213"/>
      <c r="B18" s="2213"/>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4"/>
      <c r="Z18" s="2213"/>
      <c r="AA18" s="2215"/>
      <c r="AB18" s="2213"/>
    </row>
    <row customHeight="1" ht="14.25">
      <c r="A19" s="2213"/>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4"/>
      <c r="Z19" s="2213"/>
      <c r="AA19" s="2215"/>
      <c r="AB19" s="2213"/>
    </row>
    <row customHeight="1" ht="14.25">
      <c r="A20" s="2213"/>
      <c r="B20" s="2213"/>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4"/>
      <c r="Z20" s="2213"/>
      <c r="AA20" s="2215"/>
      <c r="AB20" s="2213"/>
    </row>
    <row customHeight="1" ht="14.25">
      <c r="A21" s="2213"/>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4"/>
      <c r="Z21" s="2213"/>
      <c r="AA21" s="2215"/>
      <c r="AB21" s="221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FF394A-93B1-36D4-44E9-43E3C24AB995}"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50765" width="9.140625" hidden="1" customWidth="1"/>
    <col min="2" max="3" style="50801" width="9.140625" hidden="1" customWidth="1"/>
    <col min="4" max="4" style="50980" width="3.00390625" customWidth="1"/>
    <col min="5" max="5" style="50801" width="6.00390625" customWidth="1"/>
    <col min="6" max="6" style="50801" width="1.7109375" hidden="1" customWidth="1"/>
    <col min="7" max="8" style="50801" width="30.00390625" customWidth="1"/>
    <col min="9" max="9" style="50801" width="8.00390625" customWidth="1"/>
    <col min="10" max="10" style="50801" width="12.140625" customWidth="1"/>
    <col min="11" max="11" style="50801" width="46.00390625" customWidth="1"/>
    <col min="12" max="12" style="50801" width="100.00390625" customWidth="1"/>
    <col min="13" max="13" style="50897" width="7.00390625" customWidth="1"/>
    <col min="14" max="22" style="50801" width="10.00390625" customWidth="1"/>
    <col min="23" max="23" style="50801" width="10.57421875" hidden="1"/>
  </cols>
  <sheetData>
    <row s="50882" customFormat="1" customHeight="1" ht="5.25" hidden="1">
      <c r="C1" s="1023"/>
      <c r="D1" s="1006"/>
      <c r="F1" s="1023"/>
      <c r="G1" s="1001" t="s">
        <v>85</v>
      </c>
      <c r="H1" s="1001" t="s">
        <v>86</v>
      </c>
      <c r="I1" s="1001" t="s">
        <v>87</v>
      </c>
      <c r="P1" s="1001" t="s">
        <v>85</v>
      </c>
      <c r="Q1" s="1001" t="s">
        <v>86</v>
      </c>
      <c r="R1" s="1001" t="s">
        <v>87</v>
      </c>
      <c r="W1" s="1001" t="s">
        <v>14</v>
      </c>
    </row>
    <row s="50882" customFormat="1" customHeight="1" ht="5.25" hidden="1">
      <c r="C2" s="1023"/>
      <c r="D2" s="1006"/>
      <c r="F2" s="1023"/>
      <c r="W2" s="1001">
        <v>0</v>
      </c>
    </row>
    <row s="50776" customFormat="1" customHeight="1" ht="5.25">
      <c r="A3" s="991"/>
      <c r="D3" s="998"/>
      <c r="E3" s="993"/>
      <c r="F3" s="993"/>
      <c r="G3" s="993"/>
      <c r="H3" s="993"/>
      <c r="I3" s="994"/>
      <c r="J3" s="995"/>
      <c r="K3" s="995"/>
      <c r="L3" s="995"/>
      <c r="W3" s="992">
        <v>5</v>
      </c>
    </row>
    <row customHeight="1" ht="23.25">
      <c r="D4" s="962"/>
      <c r="E4" s="2750" t="s">
        <v>527</v>
      </c>
      <c r="F4" s="2750"/>
      <c r="G4" s="2751"/>
      <c r="H4" s="2751"/>
      <c r="I4" s="2752"/>
      <c r="J4" s="1003"/>
      <c r="K4" s="965"/>
      <c r="L4" s="965"/>
      <c r="W4" s="959">
        <v>22</v>
      </c>
    </row>
    <row s="50801" customFormat="1" customHeight="1" ht="18">
      <c r="A5" s="1271"/>
      <c r="D5" s="1334"/>
      <c r="E5" s="2726" t="str">
        <f>IF(org=0,"Не определено",org)</f>
        <v>КГУП "Примтеплоэнерго"</v>
      </c>
      <c r="F5" s="2726"/>
      <c r="G5" s="2727"/>
      <c r="H5" s="2727"/>
      <c r="I5" s="2728"/>
      <c r="J5" s="1003"/>
      <c r="K5" s="965"/>
      <c r="L5" s="965"/>
      <c r="M5" s="1019"/>
      <c r="W5" s="1270">
        <v>17</v>
      </c>
    </row>
    <row s="50776" customFormat="1" customHeight="1" ht="11.549999999999999">
      <c r="A6" s="991"/>
      <c r="D6" s="998"/>
      <c r="E6" s="993"/>
      <c r="F6" s="993"/>
      <c r="G6" s="996"/>
      <c r="H6" s="996"/>
      <c r="I6" s="997"/>
      <c r="J6" s="997"/>
      <c r="K6" s="1264"/>
      <c r="L6" s="997"/>
      <c r="W6" s="992">
        <v>11</v>
      </c>
    </row>
    <row customHeight="1" ht="14.699999999999998">
      <c r="D7" s="962"/>
      <c r="E7" s="2720" t="s">
        <v>439</v>
      </c>
      <c r="F7" s="2720"/>
      <c r="G7" s="2721"/>
      <c r="H7" s="2721"/>
      <c r="I7" s="2721"/>
      <c r="J7" s="2721"/>
      <c r="K7" s="2721"/>
      <c r="L7" s="2735" t="s">
        <v>440</v>
      </c>
      <c r="W7" s="959">
        <v>14</v>
      </c>
    </row>
    <row customHeight="1" ht="48.29999999999999">
      <c r="D8" s="962"/>
      <c r="E8" s="985" t="s">
        <v>90</v>
      </c>
      <c r="F8" s="1335"/>
      <c r="G8" s="977" t="s">
        <v>88</v>
      </c>
      <c r="H8" s="977" t="s">
        <v>89</v>
      </c>
      <c r="I8" s="926" t="s">
        <v>87</v>
      </c>
      <c r="J8" s="926" t="s">
        <v>528</v>
      </c>
      <c r="K8" s="926" t="s">
        <v>529</v>
      </c>
      <c r="L8" s="2735"/>
      <c r="W8" s="959">
        <v>46</v>
      </c>
    </row>
    <row customHeight="1" ht="12" hidden="1">
      <c r="D9" s="999"/>
      <c r="E9" s="1005"/>
      <c r="F9" s="1342"/>
      <c r="G9" s="1005"/>
      <c r="H9" s="1005"/>
      <c r="I9" s="1005"/>
      <c r="J9" s="1005"/>
      <c r="K9" s="1005"/>
      <c r="L9" s="1005"/>
      <c r="M9" s="959"/>
      <c r="W9" s="959">
        <v>0</v>
      </c>
    </row>
    <row customHeight="1" ht="14.25" hidden="1">
      <c r="A10" s="1017"/>
      <c r="B10" s="1017"/>
      <c r="D10" s="1018"/>
      <c r="E10" s="1024">
        <v>0</v>
      </c>
      <c r="F10" s="1333"/>
      <c r="G10" s="1020"/>
      <c r="H10" s="1020"/>
      <c r="I10" s="1020"/>
      <c r="J10" s="1020"/>
      <c r="K10" s="1020"/>
      <c r="L10" s="2733" t="s">
        <v>530</v>
      </c>
      <c r="M10" s="1019"/>
      <c r="N10" s="1017"/>
      <c r="O10" s="1017"/>
      <c r="P10" s="1017"/>
      <c r="Q10" s="1017"/>
      <c r="R10" s="1017"/>
      <c r="S10" s="1017"/>
      <c r="T10" s="1017"/>
      <c r="U10" s="1017"/>
      <c r="V10" s="1017"/>
      <c r="W10" s="959">
        <v>0</v>
      </c>
    </row>
    <row customHeight="1" ht="15" hidden="1">
      <c r="A11" s="2611"/>
      <c r="B11" s="1016"/>
      <c r="C11" s="1016"/>
      <c r="D11" s="1377"/>
      <c r="E11" s="1025"/>
      <c r="F11" s="1025"/>
      <c r="G11" s="1025"/>
      <c r="H11" s="1025"/>
      <c r="I11" s="1026"/>
      <c r="J11" s="1027"/>
      <c r="K11" s="1225"/>
      <c r="L11" s="2753"/>
      <c r="M11" s="1023"/>
      <c r="N11" s="1023"/>
      <c r="O11" s="1023"/>
      <c r="P11" s="1028"/>
      <c r="Q11" s="1028"/>
      <c r="R11" s="1029"/>
      <c r="S11" s="1023"/>
      <c r="T11" s="1023"/>
      <c r="U11" s="1023"/>
      <c r="V11" s="1023"/>
      <c r="W11" s="959">
        <v>0</v>
      </c>
    </row>
    <row s="50776" customFormat="1" customHeight="1" ht="15">
      <c r="A12" s="2611"/>
      <c r="B12" s="1016"/>
      <c r="C12" s="1016"/>
      <c r="D12" s="1378"/>
      <c r="E12" s="1335">
        <v>1</v>
      </c>
      <c r="F12" s="1376">
        <v>23</v>
      </c>
      <c r="G12" s="1375"/>
      <c r="H12" s="1305"/>
      <c r="I12" s="1303"/>
      <c r="J12" s="1032" t="s">
        <v>63</v>
      </c>
      <c r="K12" s="1676" t="s">
        <v>28</v>
      </c>
      <c r="L12" s="2753"/>
      <c r="M12" s="1023"/>
      <c r="N12" s="1023"/>
      <c r="O12" s="1023"/>
      <c r="P12" s="1028" t="s">
        <v>531</v>
      </c>
      <c r="Q12" s="1028" t="s">
        <v>532</v>
      </c>
      <c r="R12" s="1029" t="s">
        <v>533</v>
      </c>
      <c r="S12" s="1023" t="s">
        <v>534</v>
      </c>
      <c r="T12" s="1023"/>
      <c r="U12" s="1023"/>
      <c r="V12" s="1023"/>
      <c r="W12" s="992">
        <v>14</v>
      </c>
    </row>
    <row customHeight="1" ht="15.75">
      <c r="A13" s="2611"/>
      <c r="B13" s="1017"/>
      <c r="D13" s="1018"/>
      <c r="E13" s="917"/>
      <c r="F13" s="1041"/>
      <c r="G13" s="928" t="s">
        <v>104</v>
      </c>
      <c r="H13" s="916"/>
      <c r="I13" s="916"/>
      <c r="J13" s="916"/>
      <c r="K13" s="915"/>
      <c r="L13" s="2734"/>
      <c r="M13" s="1021"/>
      <c r="N13" s="1017"/>
      <c r="O13" s="1017"/>
      <c r="P13" s="1017"/>
      <c r="Q13" s="1017"/>
      <c r="R13" s="1017"/>
      <c r="S13" s="1017"/>
      <c r="T13" s="1017"/>
      <c r="U13" s="1017"/>
      <c r="V13" s="1017"/>
      <c r="W13" s="959">
        <v>15</v>
      </c>
    </row>
    <row customHeight="1" ht="11.549999999999999">
      <c r="A14" s="991"/>
      <c r="B14" s="992"/>
      <c r="C14" s="992"/>
      <c r="D14" s="1007"/>
      <c r="E14" s="992"/>
      <c r="F14" s="992"/>
      <c r="G14" s="992"/>
      <c r="H14" s="992"/>
      <c r="I14" s="992"/>
      <c r="J14" s="992"/>
      <c r="K14" s="992"/>
      <c r="L14" s="992"/>
      <c r="M14" s="992"/>
      <c r="N14" s="992"/>
      <c r="O14" s="992"/>
      <c r="P14" s="992"/>
      <c r="Q14" s="992"/>
      <c r="R14" s="992"/>
      <c r="S14" s="992"/>
      <c r="T14" s="992"/>
      <c r="U14" s="992"/>
      <c r="V14" s="992"/>
      <c r="W14" s="959">
        <v>11</v>
      </c>
    </row>
    <row customHeight="1" ht="14.699999999999998">
      <c r="D15" s="978"/>
      <c r="E15" s="848"/>
      <c r="F15" s="848"/>
      <c r="G15" s="11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978"/>
      <c r="I15" s="978"/>
      <c r="J15" s="978"/>
      <c r="K15" s="978"/>
      <c r="L15" s="978"/>
      <c r="W15" s="959">
        <v>14</v>
      </c>
    </row>
    <row customHeight="1" ht="14.699999999999998">
      <c r="W16" s="959">
        <v>14</v>
      </c>
    </row>
    <row customHeight="1" ht="14.699999999999998">
      <c r="W17" s="959">
        <v>14</v>
      </c>
    </row>
    <row customHeight="1" ht="14.699999999999998">
      <c r="G18" s="1017"/>
      <c r="W18" s="959">
        <v>14</v>
      </c>
    </row>
    <row customHeight="1" ht="22.5" hidden="1">
      <c r="A19" s="961" t="s">
        <v>84</v>
      </c>
      <c r="B19" s="959">
        <v>0</v>
      </c>
      <c r="C19" s="1270">
        <v>0</v>
      </c>
      <c r="D19" s="963">
        <v>3</v>
      </c>
      <c r="E19" s="959">
        <v>6</v>
      </c>
      <c r="F19" s="1270">
        <v>0</v>
      </c>
      <c r="G19" s="959">
        <v>30</v>
      </c>
      <c r="H19" s="959">
        <v>30</v>
      </c>
      <c r="I19" s="959">
        <v>8</v>
      </c>
      <c r="J19" s="959">
        <v>12</v>
      </c>
      <c r="K19" s="959">
        <v>46</v>
      </c>
      <c r="L19" s="959">
        <v>100</v>
      </c>
      <c r="M19" s="964">
        <v>7</v>
      </c>
      <c r="N19" s="959">
        <v>10</v>
      </c>
      <c r="O19" s="959">
        <v>10</v>
      </c>
      <c r="P19" s="959">
        <v>10</v>
      </c>
      <c r="Q19" s="959">
        <v>10</v>
      </c>
      <c r="R19" s="959">
        <v>10</v>
      </c>
      <c r="S19" s="959">
        <v>10</v>
      </c>
      <c r="T19" s="959">
        <v>10</v>
      </c>
      <c r="U19" s="959">
        <v>10</v>
      </c>
      <c r="V19" s="959">
        <v>10</v>
      </c>
      <c r="W19" s="95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483FC9-F6C8-3B31-4969-6A1EFB314E9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21">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16"/>
      <c r="Q3" s="864"/>
      <c r="R3" s="865"/>
      <c r="S3" s="1821">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21">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21">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542</v>
      </c>
      <c r="M6" s="1049"/>
      <c r="P6" s="2769">
        <v>1</v>
      </c>
      <c r="Q6" s="1817"/>
      <c r="R6" s="868"/>
      <c r="S6" s="1821">
        <f>$I6</f>
      </c>
      <c r="T6" s="797" t="s">
        <v>543</v>
      </c>
      <c r="U6" s="812"/>
      <c r="V6" s="2757"/>
      <c r="W6" s="2758"/>
      <c r="X6" s="2758"/>
      <c r="Y6" s="2758"/>
      <c r="Z6" s="2758"/>
      <c r="AA6" s="2758"/>
      <c r="AB6" s="2758"/>
      <c r="AC6" s="2759"/>
      <c r="AD6" s="2757"/>
      <c r="AE6" s="2758"/>
      <c r="AF6" s="2758"/>
      <c r="AG6" s="2758"/>
      <c r="AH6" s="2758"/>
      <c r="AI6" s="2758"/>
      <c r="AJ6" s="2758"/>
      <c r="AK6" s="2758"/>
      <c r="AL6" s="2759"/>
      <c r="AM6" s="1770" t="s">
        <v>544</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545</v>
      </c>
      <c r="M7" s="1049"/>
      <c r="N7" s="1878"/>
      <c r="P7" s="2769"/>
      <c r="Q7" s="2769">
        <v>1</v>
      </c>
      <c r="R7" s="869"/>
      <c r="S7" s="1821">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548</v>
      </c>
      <c r="M8" s="1049"/>
      <c r="N8" s="1878"/>
      <c r="O8" s="1878"/>
      <c r="P8" s="2769"/>
      <c r="Q8" s="2769"/>
      <c r="R8" s="869">
        <v>1</v>
      </c>
      <c r="S8" s="1821">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18"/>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17"/>
      <c r="R11" s="868"/>
      <c r="S11" s="1790"/>
      <c r="T11" s="799"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552</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50882"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P17" s="1823"/>
      <c r="AD17" s="1872"/>
      <c r="AE17" s="1872"/>
      <c r="AF17" s="1872"/>
      <c r="AG17" s="1873"/>
      <c r="AH17" s="2779"/>
      <c r="AI17" s="2780" t="s">
        <v>63</v>
      </c>
      <c r="AJ17" s="2779"/>
      <c r="AK17" s="2780" t="s">
        <v>63</v>
      </c>
      <c r="AS17" s="1667">
        <v>0</v>
      </c>
    </row>
    <row customHeight="1" ht="14.25" hidden="1">
      <c r="P18" s="1823"/>
      <c r="AD18" s="1872"/>
      <c r="AE18" s="1872"/>
      <c r="AF18" s="1872"/>
      <c r="AG18" s="840" t="str">
        <f>AH17&amp;"-"&amp;AJ17</f>
        <v>-</v>
      </c>
      <c r="AH18" s="2780"/>
      <c r="AI18" s="2780"/>
      <c r="AJ18" s="2780"/>
      <c r="AK18" s="2780"/>
      <c r="AS18" s="1667">
        <v>0</v>
      </c>
    </row>
    <row customHeight="1" ht="14.25" hidden="1">
      <c r="P19" s="1823"/>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14.2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P23" s="1823"/>
      <c r="AS23" s="1667">
        <v>0</v>
      </c>
    </row>
    <row customHeight="1" ht="14.25" hidden="1">
      <c r="O24" s="1876"/>
      <c r="P24" s="1823"/>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P33" s="1840"/>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18.7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731"/>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1667">
        <v>14</v>
      </c>
    </row>
    <row customHeight="1" ht="35.699999999999996">
      <c r="Q40" s="888"/>
      <c r="R40" s="888"/>
      <c r="S40" s="2785"/>
      <c r="T40" s="2721"/>
      <c r="U40" s="1543"/>
      <c r="V40" s="2772" t="s">
        <v>570</v>
      </c>
      <c r="W40" s="3122" t="s">
        <v>571</v>
      </c>
      <c r="X40" s="2774" t="s">
        <v>572</v>
      </c>
      <c r="Y40" s="2775"/>
      <c r="Z40" s="2774" t="s">
        <v>573</v>
      </c>
      <c r="AA40" s="2781"/>
      <c r="AB40" s="2775"/>
      <c r="AC40" s="2790"/>
      <c r="AD40" s="2772" t="s">
        <v>570</v>
      </c>
      <c r="AE40" s="2795" t="s">
        <v>571</v>
      </c>
      <c r="AF40" s="2774" t="s">
        <v>572</v>
      </c>
      <c r="AG40" s="2775"/>
      <c r="AH40" s="2774" t="s">
        <v>573</v>
      </c>
      <c r="AI40" s="2781"/>
      <c r="AJ40" s="2775"/>
      <c r="AK40" s="2790"/>
      <c r="AL40" s="2793"/>
      <c r="AM40" s="2639"/>
      <c r="AS40" s="1667">
        <v>34</v>
      </c>
    </row>
    <row customHeight="1" ht="35.699999999999996">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Q41" s="888"/>
      <c r="R41" s="888"/>
      <c r="S41" s="2785"/>
      <c r="T41" s="2721"/>
      <c r="U41" s="814"/>
      <c r="V41" s="2773"/>
      <c r="W41" s="2796"/>
      <c r="X41" s="1734" t="s">
        <v>581</v>
      </c>
      <c r="Y41" s="1734" t="s">
        <v>582</v>
      </c>
      <c r="Z41" s="1733" t="s">
        <v>583</v>
      </c>
      <c r="AA41" s="2782" t="s">
        <v>584</v>
      </c>
      <c r="AB41" s="2783"/>
      <c r="AC41" s="2791"/>
      <c r="AD41" s="2773"/>
      <c r="AE41" s="2796"/>
      <c r="AF41" s="1734" t="s">
        <v>581</v>
      </c>
      <c r="AG41" s="1734" t="s">
        <v>582</v>
      </c>
      <c r="AH41" s="1825" t="s">
        <v>583</v>
      </c>
      <c r="AI41" s="2782" t="s">
        <v>584</v>
      </c>
      <c r="AJ41" s="2783"/>
      <c r="AK41" s="2791"/>
      <c r="AL41" s="2794"/>
      <c r="AM41" s="2639"/>
      <c r="AS41" s="1667">
        <v>34</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768">
        <f>OFFSET(V42,0,-1)+1</f>
        <v>3</v>
      </c>
      <c r="W42" s="1768"/>
      <c r="X42" s="1768">
        <f>OFFSET(X42,0,-1)+1</f>
        <v>1</v>
      </c>
      <c r="Y42" s="1768">
        <f>OFFSET(Y42,0,-1)+1</f>
        <v>2</v>
      </c>
      <c r="Z42" s="1768">
        <f>OFFSET(Z42,0,-1)+1</f>
        <v>3</v>
      </c>
      <c r="AA42" s="2784">
        <f>OFFSET(AA42,0,-1)+1</f>
        <v>4</v>
      </c>
      <c r="AB42" s="2784"/>
      <c r="AC42" s="1768">
        <f>OFFSET(AC42,0,-2)+1</f>
        <v>5</v>
      </c>
      <c r="AD42" s="1824">
        <f>OFFSET(AD42,0,-1)+1</f>
        <v>6</v>
      </c>
      <c r="AE42" s="1824"/>
      <c r="AF42" s="1824">
        <f>OFFSET(AF42,0,-1)+1</f>
        <v>1</v>
      </c>
      <c r="AG42" s="1824">
        <f>OFFSET(AG42,0,-1)+1</f>
        <v>2</v>
      </c>
      <c r="AH42" s="1824">
        <f>OFFSET(AH42,0,-1)+1</f>
        <v>3</v>
      </c>
      <c r="AI42" s="2784">
        <f>OFFSET(AI42,0,-1)+1</f>
        <v>4</v>
      </c>
      <c r="AJ42" s="2784"/>
      <c r="AK42" s="1824">
        <f>OFFSET(AK42,0,-2)+1</f>
        <v>5</v>
      </c>
      <c r="AL42" s="1757">
        <f>OFFSET(AL42,0,-1)</f>
        <v>5</v>
      </c>
      <c r="AM42" s="1768">
        <f>OFFSET(AM42,0,-1)+1</f>
        <v>6</v>
      </c>
      <c r="AN42" s="1023"/>
      <c r="AO42" s="1023"/>
      <c r="AP42" s="1023"/>
      <c r="AQ42" s="1023"/>
      <c r="AR42" s="1023"/>
      <c r="AS42" s="1008">
        <v>0</v>
      </c>
    </row>
    <row customHeight="1" ht="24">
      <c r="A43" s="1875" t="s">
        <v>216</v>
      </c>
      <c r="B43" s="1875"/>
      <c r="C43" s="1875"/>
      <c r="D43" s="1875"/>
      <c r="E43" s="2770">
        <v>1</v>
      </c>
      <c r="F43" s="1875"/>
      <c r="G43" s="1875"/>
      <c r="H43" s="1875"/>
      <c r="I43" s="1875"/>
      <c r="J43" s="1875"/>
      <c r="K43" s="1875"/>
      <c r="L43" s="1876"/>
      <c r="M43" s="1877"/>
      <c r="N43" s="1877"/>
      <c r="O43" s="1877"/>
      <c r="P43" s="873"/>
      <c r="Q43" s="872"/>
      <c r="R43" s="867"/>
      <c r="S43" s="1736">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23</v>
      </c>
    </row>
    <row customHeight="1" ht="24">
      <c r="A44" s="1875" t="s">
        <v>216</v>
      </c>
      <c r="B44" s="1875" t="s">
        <v>217</v>
      </c>
      <c r="C44" s="1875"/>
      <c r="D44" s="1875"/>
      <c r="E44" s="2771"/>
      <c r="F44" s="2770">
        <v>1</v>
      </c>
      <c r="G44" s="1875"/>
      <c r="H44" s="1875"/>
      <c r="I44" s="1875"/>
      <c r="J44" s="1875"/>
      <c r="K44" s="1875"/>
      <c r="L44" s="1876"/>
      <c r="M44" s="1877"/>
      <c r="N44" s="1877"/>
      <c r="O44" s="1877"/>
      <c r="P44" s="1034"/>
      <c r="Q44" s="864"/>
      <c r="R44" s="865"/>
      <c r="S44" s="1736"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23</v>
      </c>
    </row>
    <row customHeight="1" ht="24">
      <c r="A45" s="1875" t="s">
        <v>216</v>
      </c>
      <c r="B45" s="1875" t="s">
        <v>217</v>
      </c>
      <c r="C45" s="1875" t="s">
        <v>218</v>
      </c>
      <c r="D45" s="1875"/>
      <c r="E45" s="2771"/>
      <c r="F45" s="2771"/>
      <c r="G45" s="2770">
        <v>1</v>
      </c>
      <c r="H45" s="1875"/>
      <c r="I45" s="1875"/>
      <c r="J45" s="1875"/>
      <c r="K45" s="1875"/>
      <c r="L45" s="1876"/>
      <c r="M45" s="1877"/>
      <c r="N45" s="1877"/>
      <c r="O45" s="1877"/>
      <c r="P45" s="866"/>
      <c r="Q45" s="864"/>
      <c r="R45" s="865"/>
      <c r="S45" s="1736"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4">
      <c r="A46" s="1875" t="s">
        <v>216</v>
      </c>
      <c r="B46" s="1875" t="s">
        <v>217</v>
      </c>
      <c r="C46" s="1875" t="s">
        <v>218</v>
      </c>
      <c r="D46" s="1875" t="s">
        <v>219</v>
      </c>
      <c r="E46" s="2771"/>
      <c r="F46" s="2771"/>
      <c r="G46" s="2771"/>
      <c r="H46" s="2770">
        <v>1</v>
      </c>
      <c r="I46" s="1875"/>
      <c r="J46" s="1875"/>
      <c r="K46" s="1875"/>
      <c r="L46" s="1876"/>
      <c r="M46" s="1877"/>
      <c r="N46" s="1877"/>
      <c r="O46" s="1877"/>
      <c r="P46" s="866"/>
      <c r="Q46" s="864"/>
      <c r="R46" s="865"/>
      <c r="S46" s="1736"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23</v>
      </c>
    </row>
    <row customHeight="1" ht="49.5">
      <c r="A47" s="1875" t="s">
        <v>216</v>
      </c>
      <c r="B47" s="1875" t="s">
        <v>217</v>
      </c>
      <c r="C47" s="1875" t="s">
        <v>218</v>
      </c>
      <c r="D47" s="1875" t="s">
        <v>219</v>
      </c>
      <c r="E47" s="2771"/>
      <c r="F47" s="2771"/>
      <c r="G47" s="2771"/>
      <c r="H47" s="2771"/>
      <c r="I47" s="2768" t="str">
        <f>S46&amp;".1"</f>
        <v>....1</v>
      </c>
      <c r="J47" s="1875"/>
      <c r="K47" s="1875"/>
      <c r="L47" s="1876" t="s">
        <v>542</v>
      </c>
      <c r="P47" s="2769">
        <v>1</v>
      </c>
      <c r="Q47" s="1732"/>
      <c r="R47" s="868"/>
      <c r="S47" s="1736" t="str">
        <f>$I47</f>
        <v>....1</v>
      </c>
      <c r="T47" s="797" t="s">
        <v>543</v>
      </c>
      <c r="U47" s="812"/>
      <c r="V47" s="2757"/>
      <c r="W47" s="2758"/>
      <c r="X47" s="2758"/>
      <c r="Y47" s="2758"/>
      <c r="Z47" s="2758"/>
      <c r="AA47" s="2758"/>
      <c r="AB47" s="2758"/>
      <c r="AC47" s="2759"/>
      <c r="AD47" s="2757"/>
      <c r="AE47" s="2758"/>
      <c r="AF47" s="2758"/>
      <c r="AG47" s="2758"/>
      <c r="AH47" s="2758"/>
      <c r="AI47" s="2758"/>
      <c r="AJ47" s="2758"/>
      <c r="AK47" s="2758"/>
      <c r="AL47" s="2759"/>
      <c r="AM47" s="1770" t="s">
        <v>544</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4">
      <c r="A48" s="1875" t="s">
        <v>216</v>
      </c>
      <c r="B48" s="1875" t="s">
        <v>217</v>
      </c>
      <c r="C48" s="1875" t="s">
        <v>218</v>
      </c>
      <c r="D48" s="1875" t="s">
        <v>219</v>
      </c>
      <c r="E48" s="2771"/>
      <c r="F48" s="2771"/>
      <c r="G48" s="2771"/>
      <c r="H48" s="2771"/>
      <c r="I48" s="2798"/>
      <c r="J48" s="2768" t="str">
        <f>I47&amp;".1"</f>
        <v>....1.1</v>
      </c>
      <c r="K48" s="1875"/>
      <c r="L48" s="1876" t="s">
        <v>545</v>
      </c>
      <c r="P48" s="2769"/>
      <c r="Q48" s="2769">
        <v>1</v>
      </c>
      <c r="R48" s="869"/>
      <c r="S48" s="1736" t="str">
        <f>$J48</f>
        <v>....1.1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23</v>
      </c>
    </row>
    <row customHeight="1" ht="24">
      <c r="A49" s="1875" t="s">
        <v>216</v>
      </c>
      <c r="B49" s="1875" t="s">
        <v>217</v>
      </c>
      <c r="C49" s="1875" t="s">
        <v>218</v>
      </c>
      <c r="D49" s="1875" t="s">
        <v>219</v>
      </c>
      <c r="E49" s="2771"/>
      <c r="F49" s="2771"/>
      <c r="G49" s="2771"/>
      <c r="H49" s="2771"/>
      <c r="I49" s="2798"/>
      <c r="J49" s="2798"/>
      <c r="K49" s="2768" t="str">
        <f>J48&amp;".1"</f>
        <v>....1.1.1</v>
      </c>
      <c r="L49" s="1876" t="s">
        <v>548</v>
      </c>
      <c r="P49" s="2769"/>
      <c r="Q49" s="2769"/>
      <c r="R49" s="869">
        <v>1</v>
      </c>
      <c r="S49" s="1736"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549</v>
      </c>
      <c r="AN49" s="1023">
        <f>STRCHECKDATE(V50:AL50)</f>
      </c>
      <c r="AO49" s="1012"/>
      <c r="AP49" s="1012" t="str">
        <f>IF(T49="","",T49)</f>
        <v/>
      </c>
      <c r="AQ49" s="1012"/>
      <c r="AR49" s="1012"/>
      <c r="AS49" s="1667">
        <v>23</v>
      </c>
    </row>
    <row customHeight="1" ht="1.05">
      <c r="A50" s="1875" t="s">
        <v>216</v>
      </c>
      <c r="B50" s="1875" t="s">
        <v>217</v>
      </c>
      <c r="C50" s="1875" t="s">
        <v>218</v>
      </c>
      <c r="D50" s="1875" t="s">
        <v>219</v>
      </c>
      <c r="E50" s="2771"/>
      <c r="F50" s="2771"/>
      <c r="G50" s="2771"/>
      <c r="H50" s="2771"/>
      <c r="I50" s="2798"/>
      <c r="J50" s="2798"/>
      <c r="K50" s="2768"/>
      <c r="L50" s="1876"/>
      <c r="P50" s="2769"/>
      <c r="Q50" s="2769"/>
      <c r="R50" s="869"/>
      <c r="S50" s="1735"/>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216</v>
      </c>
      <c r="B51" s="1875" t="s">
        <v>217</v>
      </c>
      <c r="C51" s="1875" t="s">
        <v>218</v>
      </c>
      <c r="D51" s="1875" t="s">
        <v>219</v>
      </c>
      <c r="E51" s="2771"/>
      <c r="F51" s="2771"/>
      <c r="G51" s="2771"/>
      <c r="H51" s="2771"/>
      <c r="I51" s="2798"/>
      <c r="J51" s="2768"/>
      <c r="K51" s="1875"/>
      <c r="L51" s="1876"/>
      <c r="P51" s="2769"/>
      <c r="Q51" s="2769"/>
      <c r="R51" s="868"/>
      <c r="S51" s="1790"/>
      <c r="T51" s="800"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216</v>
      </c>
      <c r="B52" s="1875" t="s">
        <v>217</v>
      </c>
      <c r="C52" s="1875" t="s">
        <v>218</v>
      </c>
      <c r="D52" s="1875" t="s">
        <v>219</v>
      </c>
      <c r="E52" s="2771"/>
      <c r="F52" s="2771"/>
      <c r="G52" s="2771"/>
      <c r="H52" s="2771"/>
      <c r="I52" s="2768"/>
      <c r="J52" s="1875"/>
      <c r="K52" s="1875"/>
      <c r="L52" s="1876"/>
      <c r="P52" s="2769"/>
      <c r="Q52" s="1732"/>
      <c r="R52" s="868"/>
      <c r="S52" s="1790"/>
      <c r="T52" s="799"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216</v>
      </c>
      <c r="B53" s="1875" t="s">
        <v>217</v>
      </c>
      <c r="C53" s="1875" t="s">
        <v>218</v>
      </c>
      <c r="D53" s="1875" t="s">
        <v>219</v>
      </c>
      <c r="E53" s="2771"/>
      <c r="F53" s="2771"/>
      <c r="G53" s="2771"/>
      <c r="H53" s="2770"/>
      <c r="I53" s="1875"/>
      <c r="J53" s="1875"/>
      <c r="K53" s="1875"/>
      <c r="L53" s="1876"/>
      <c r="M53" s="1877"/>
      <c r="N53" s="1877"/>
      <c r="O53" s="1049"/>
      <c r="P53" s="872"/>
      <c r="Q53" s="887"/>
      <c r="R53" s="867"/>
      <c r="S53" s="1790"/>
      <c r="T53" s="877" t="s">
        <v>552</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50882" customFormat="1" customHeight="1" ht="1.05">
      <c r="A54" s="1855" t="s">
        <v>216</v>
      </c>
      <c r="B54" s="1855" t="s">
        <v>217</v>
      </c>
      <c r="C54" s="1855" t="s">
        <v>218</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50882" customFormat="1" customHeight="1" ht="1.05">
      <c r="A55" s="1855" t="s">
        <v>216</v>
      </c>
      <c r="B55" s="1855" t="s">
        <v>217</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50882" customFormat="1" customHeight="1" ht="1.05">
      <c r="A56" s="1855" t="s">
        <v>216</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50882"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7.2">
      <c r="O60" s="1049"/>
      <c r="P60" s="1815"/>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64</v>
      </c>
    </row>
    <row customHeight="1" ht="14.699999999999998">
      <c r="O61" s="1049"/>
      <c r="AS61" s="1667">
        <v>14</v>
      </c>
    </row>
    <row customHeight="1" ht="18.75">
      <c r="O62" s="1049"/>
      <c r="P62" s="1840"/>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P63" s="1840"/>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P64" s="1840"/>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730">
        <v>3</v>
      </c>
      <c r="Q65" s="856">
        <v>3</v>
      </c>
      <c r="R65" s="856">
        <v>3</v>
      </c>
      <c r="S65" s="1093">
        <v>12</v>
      </c>
      <c r="T65" s="1667">
        <v>35</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CADD7B-02B2-FCD8-4FEE-E3024340EC4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542</v>
      </c>
      <c r="M6" s="1049"/>
      <c r="P6" s="2769">
        <v>1</v>
      </c>
      <c r="Q6" s="1843"/>
      <c r="R6" s="868"/>
      <c r="S6" s="1848">
        <f>$I6</f>
      </c>
      <c r="T6" s="797" t="s">
        <v>543</v>
      </c>
      <c r="U6" s="812"/>
      <c r="V6" s="2757"/>
      <c r="W6" s="2758"/>
      <c r="X6" s="2758"/>
      <c r="Y6" s="2758"/>
      <c r="Z6" s="2758"/>
      <c r="AA6" s="2758"/>
      <c r="AB6" s="2758"/>
      <c r="AC6" s="2759"/>
      <c r="AD6" s="2757"/>
      <c r="AE6" s="2758"/>
      <c r="AF6" s="2758"/>
      <c r="AG6" s="2758"/>
      <c r="AH6" s="2758"/>
      <c r="AI6" s="2758"/>
      <c r="AJ6" s="2758"/>
      <c r="AK6" s="2758"/>
      <c r="AL6" s="2759"/>
      <c r="AM6" s="1770" t="s">
        <v>544</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545</v>
      </c>
      <c r="M7" s="1049"/>
      <c r="N7" s="1878"/>
      <c r="P7" s="2769"/>
      <c r="Q7" s="2769">
        <v>1</v>
      </c>
      <c r="R7" s="869"/>
      <c r="S7" s="1848">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548</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552</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50882"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14.2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18.7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1667">
        <v>14</v>
      </c>
    </row>
    <row customHeight="1" ht="35.699999999999996">
      <c r="Q40" s="888"/>
      <c r="R40" s="888"/>
      <c r="S40" s="2785"/>
      <c r="T40" s="2721"/>
      <c r="U40" s="1543"/>
      <c r="V40" s="2772" t="s">
        <v>570</v>
      </c>
      <c r="W40" s="2795" t="s">
        <v>571</v>
      </c>
      <c r="X40" s="2774" t="s">
        <v>572</v>
      </c>
      <c r="Y40" s="2775"/>
      <c r="Z40" s="2774" t="s">
        <v>585</v>
      </c>
      <c r="AA40" s="2781"/>
      <c r="AB40" s="2775"/>
      <c r="AC40" s="2790"/>
      <c r="AD40" s="2772" t="s">
        <v>570</v>
      </c>
      <c r="AE40" s="2795" t="s">
        <v>571</v>
      </c>
      <c r="AF40" s="2774" t="s">
        <v>572</v>
      </c>
      <c r="AG40" s="2775"/>
      <c r="AH40" s="2774" t="s">
        <v>573</v>
      </c>
      <c r="AI40" s="2781"/>
      <c r="AJ40" s="2775"/>
      <c r="AK40" s="2790"/>
      <c r="AL40" s="2793"/>
      <c r="AM40" s="2639"/>
      <c r="AS40" s="1667">
        <v>34</v>
      </c>
    </row>
    <row customHeight="1" ht="35.699999999999996">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Q41" s="888"/>
      <c r="R41" s="888"/>
      <c r="S41" s="2785"/>
      <c r="T41" s="2721"/>
      <c r="U41" s="814"/>
      <c r="V41" s="2773"/>
      <c r="W41" s="2796"/>
      <c r="X41" s="1734" t="s">
        <v>581</v>
      </c>
      <c r="Y41" s="1734" t="s">
        <v>582</v>
      </c>
      <c r="Z41" s="1850" t="s">
        <v>583</v>
      </c>
      <c r="AA41" s="2782" t="s">
        <v>584</v>
      </c>
      <c r="AB41" s="2783"/>
      <c r="AC41" s="2791"/>
      <c r="AD41" s="2773"/>
      <c r="AE41" s="2796"/>
      <c r="AF41" s="1734" t="s">
        <v>581</v>
      </c>
      <c r="AG41" s="1734" t="s">
        <v>582</v>
      </c>
      <c r="AH41" s="1850" t="s">
        <v>583</v>
      </c>
      <c r="AI41" s="2782" t="s">
        <v>584</v>
      </c>
      <c r="AJ41" s="2783"/>
      <c r="AK41" s="2791"/>
      <c r="AL41" s="2794"/>
      <c r="AM41" s="2639"/>
      <c r="AS41" s="1667">
        <v>34</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221</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221</v>
      </c>
      <c r="B44" s="1875" t="s">
        <v>222</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21</v>
      </c>
    </row>
    <row customHeight="1" ht="24">
      <c r="A45" s="1875" t="s">
        <v>221</v>
      </c>
      <c r="B45" s="1875" t="s">
        <v>222</v>
      </c>
      <c r="C45" s="1875" t="s">
        <v>223</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2.049999999999997">
      <c r="A46" s="1875" t="s">
        <v>221</v>
      </c>
      <c r="B46" s="1875" t="s">
        <v>222</v>
      </c>
      <c r="C46" s="1875" t="s">
        <v>223</v>
      </c>
      <c r="D46" s="1875" t="s">
        <v>224</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21</v>
      </c>
    </row>
    <row customHeight="1" ht="49.5">
      <c r="A47" s="1875" t="s">
        <v>221</v>
      </c>
      <c r="B47" s="1875" t="s">
        <v>222</v>
      </c>
      <c r="C47" s="1875" t="s">
        <v>223</v>
      </c>
      <c r="D47" s="1875" t="s">
        <v>224</v>
      </c>
      <c r="E47" s="2771"/>
      <c r="F47" s="2771"/>
      <c r="G47" s="2771"/>
      <c r="H47" s="2771"/>
      <c r="I47" s="2768" t="str">
        <f>S46&amp;".1"</f>
        <v>....1</v>
      </c>
      <c r="J47" s="1875"/>
      <c r="K47" s="1875"/>
      <c r="L47" s="1876" t="s">
        <v>542</v>
      </c>
      <c r="P47" s="2769">
        <v>1</v>
      </c>
      <c r="Q47" s="1843"/>
      <c r="R47" s="868"/>
      <c r="S47" s="1848" t="str">
        <f>$I47</f>
        <v>....1</v>
      </c>
      <c r="T47" s="797" t="s">
        <v>543</v>
      </c>
      <c r="U47" s="812"/>
      <c r="V47" s="2757"/>
      <c r="W47" s="2758"/>
      <c r="X47" s="2758"/>
      <c r="Y47" s="2758"/>
      <c r="Z47" s="2758"/>
      <c r="AA47" s="2758"/>
      <c r="AB47" s="2758"/>
      <c r="AC47" s="2759"/>
      <c r="AD47" s="2757"/>
      <c r="AE47" s="2758"/>
      <c r="AF47" s="2758"/>
      <c r="AG47" s="2758"/>
      <c r="AH47" s="2758"/>
      <c r="AI47" s="2758"/>
      <c r="AJ47" s="2758"/>
      <c r="AK47" s="2758"/>
      <c r="AL47" s="2759"/>
      <c r="AM47" s="1770" t="s">
        <v>544</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221</v>
      </c>
      <c r="B48" s="1875" t="s">
        <v>222</v>
      </c>
      <c r="C48" s="1875" t="s">
        <v>223</v>
      </c>
      <c r="D48" s="1875" t="s">
        <v>224</v>
      </c>
      <c r="E48" s="2771"/>
      <c r="F48" s="2771"/>
      <c r="G48" s="2771"/>
      <c r="H48" s="2771"/>
      <c r="I48" s="2798"/>
      <c r="J48" s="2768" t="str">
        <f>I47&amp;".1"</f>
        <v>....1.1</v>
      </c>
      <c r="K48" s="1875"/>
      <c r="L48" s="1876" t="s">
        <v>545</v>
      </c>
      <c r="P48" s="2769"/>
      <c r="Q48" s="2769">
        <v>1</v>
      </c>
      <c r="R48" s="869"/>
      <c r="S48" s="1848" t="str">
        <f>$J48</f>
        <v>....1.1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21</v>
      </c>
    </row>
    <row customHeight="1" ht="22.049999999999997">
      <c r="A49" s="1875" t="s">
        <v>221</v>
      </c>
      <c r="B49" s="1875" t="s">
        <v>222</v>
      </c>
      <c r="C49" s="1875" t="s">
        <v>223</v>
      </c>
      <c r="D49" s="1875" t="s">
        <v>224</v>
      </c>
      <c r="E49" s="2771"/>
      <c r="F49" s="2771"/>
      <c r="G49" s="2771"/>
      <c r="H49" s="2771"/>
      <c r="I49" s="2798"/>
      <c r="J49" s="2798"/>
      <c r="K49" s="2768" t="str">
        <f>J48&amp;".1"</f>
        <v>....1.1.1</v>
      </c>
      <c r="L49" s="1876" t="s">
        <v>548</v>
      </c>
      <c r="P49" s="2769"/>
      <c r="Q49" s="2769"/>
      <c r="R49" s="869">
        <v>1</v>
      </c>
      <c r="S49" s="1848"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549</v>
      </c>
      <c r="AN49" s="1023">
        <f>STRCHECKDATE(V50:AL50)</f>
      </c>
      <c r="AO49" s="1012"/>
      <c r="AP49" s="1012" t="str">
        <f>IF(T49="","",T49)</f>
        <v/>
      </c>
      <c r="AQ49" s="1012"/>
      <c r="AR49" s="1012"/>
      <c r="AS49" s="1667">
        <v>21</v>
      </c>
    </row>
    <row customHeight="1" ht="1.05">
      <c r="A50" s="1875" t="s">
        <v>221</v>
      </c>
      <c r="B50" s="1875" t="s">
        <v>222</v>
      </c>
      <c r="C50" s="1875" t="s">
        <v>223</v>
      </c>
      <c r="D50" s="1875" t="s">
        <v>224</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221</v>
      </c>
      <c r="B51" s="1875" t="s">
        <v>222</v>
      </c>
      <c r="C51" s="1875" t="s">
        <v>223</v>
      </c>
      <c r="D51" s="1875" t="s">
        <v>224</v>
      </c>
      <c r="E51" s="2771"/>
      <c r="F51" s="2771"/>
      <c r="G51" s="2771"/>
      <c r="H51" s="2771"/>
      <c r="I51" s="2798"/>
      <c r="J51" s="2768"/>
      <c r="K51" s="1875"/>
      <c r="L51" s="1876"/>
      <c r="P51" s="2769"/>
      <c r="Q51" s="2769"/>
      <c r="R51" s="868"/>
      <c r="S51" s="1790"/>
      <c r="T51" s="800"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221</v>
      </c>
      <c r="B52" s="1875" t="s">
        <v>222</v>
      </c>
      <c r="C52" s="1875" t="s">
        <v>223</v>
      </c>
      <c r="D52" s="1875" t="s">
        <v>224</v>
      </c>
      <c r="E52" s="2771"/>
      <c r="F52" s="2771"/>
      <c r="G52" s="2771"/>
      <c r="H52" s="2771"/>
      <c r="I52" s="2768"/>
      <c r="J52" s="1875"/>
      <c r="K52" s="1875"/>
      <c r="L52" s="1876"/>
      <c r="P52" s="2769"/>
      <c r="Q52" s="1843"/>
      <c r="R52" s="868"/>
      <c r="S52" s="1790"/>
      <c r="T52" s="799"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221</v>
      </c>
      <c r="B53" s="1875" t="s">
        <v>222</v>
      </c>
      <c r="C53" s="1875" t="s">
        <v>223</v>
      </c>
      <c r="D53" s="1875" t="s">
        <v>224</v>
      </c>
      <c r="E53" s="2771"/>
      <c r="F53" s="2771"/>
      <c r="G53" s="2771"/>
      <c r="H53" s="2770"/>
      <c r="I53" s="1875"/>
      <c r="J53" s="1875"/>
      <c r="K53" s="1875"/>
      <c r="L53" s="1876"/>
      <c r="M53" s="1877"/>
      <c r="N53" s="1877"/>
      <c r="O53" s="1049"/>
      <c r="P53" s="872"/>
      <c r="Q53" s="887"/>
      <c r="R53" s="867"/>
      <c r="S53" s="1790"/>
      <c r="T53" s="877" t="s">
        <v>552</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50882" customFormat="1" customHeight="1" ht="1.05">
      <c r="A54" s="1855" t="s">
        <v>221</v>
      </c>
      <c r="B54" s="1855" t="s">
        <v>222</v>
      </c>
      <c r="C54" s="1855" t="s">
        <v>223</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50882" customFormat="1" customHeight="1" ht="1.05">
      <c r="A55" s="1855" t="s">
        <v>221</v>
      </c>
      <c r="B55" s="1855" t="s">
        <v>222</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50882" customFormat="1" customHeight="1" ht="1.05">
      <c r="A56" s="1855" t="s">
        <v>221</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50882"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5.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62</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A5E37A-77FF-8AE6-F1B6-116B57189C0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50801" width="10.57421875" hidden="1"/>
    <col min="2" max="2" style="50801" width="11.00390625" hidden="1" customWidth="1"/>
    <col min="3" max="3" style="50801" width="10.57421875" hidden="1"/>
    <col min="4" max="4" style="50801" width="11.8515625" hidden="1" customWidth="1"/>
    <col min="5" max="5" style="50801" width="10.00390625" hidden="1" customWidth="1"/>
    <col min="6" max="6" style="50801" width="8.7109375" hidden="1" customWidth="1"/>
    <col min="7" max="7" style="50801" width="7.57421875" hidden="1" customWidth="1"/>
    <col min="8" max="8" style="50801" width="11.421875" hidden="1" customWidth="1"/>
    <col min="9" max="9" style="50801" width="12.00390625" hidden="1" customWidth="1"/>
    <col min="10" max="10" style="50801" width="9.8515625" hidden="1" customWidth="1"/>
    <col min="11" max="11" style="50801" width="11.421875" hidden="1" customWidth="1"/>
    <col min="12" max="12" style="50879" width="19.140625" hidden="1" customWidth="1"/>
    <col min="13" max="14" style="51808" width="12.28125" hidden="1" customWidth="1"/>
    <col min="15" max="15" style="51808" width="23.421875" hidden="1" customWidth="1"/>
    <col min="16" max="16" style="51808" width="3.00390625"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542</v>
      </c>
      <c r="M6" s="2147"/>
      <c r="P6" s="2769">
        <v>1</v>
      </c>
      <c r="Q6" s="2466"/>
      <c r="R6" s="868"/>
      <c r="S6" s="2470">
        <f>$I6</f>
      </c>
      <c r="T6" s="797" t="s">
        <v>543</v>
      </c>
      <c r="U6" s="812"/>
      <c r="V6" s="2757"/>
      <c r="W6" s="2758"/>
      <c r="X6" s="2758"/>
      <c r="Y6" s="2758"/>
      <c r="Z6" s="2758"/>
      <c r="AA6" s="2758"/>
      <c r="AB6" s="2758"/>
      <c r="AC6" s="2759"/>
      <c r="AD6" s="2757"/>
      <c r="AE6" s="2758"/>
      <c r="AF6" s="2758"/>
      <c r="AG6" s="2758"/>
      <c r="AH6" s="2758"/>
      <c r="AI6" s="2758"/>
      <c r="AJ6" s="2758"/>
      <c r="AK6" s="2758"/>
      <c r="AL6" s="2759"/>
      <c r="AM6" s="1770" t="s">
        <v>544</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545</v>
      </c>
      <c r="M7" s="2147"/>
      <c r="N7" s="2143"/>
      <c r="P7" s="2769"/>
      <c r="Q7" s="2769">
        <v>1</v>
      </c>
      <c r="R7" s="869"/>
      <c r="S7" s="2470">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548</v>
      </c>
      <c r="M8" s="2147"/>
      <c r="N8" s="2143"/>
      <c r="O8" s="2143"/>
      <c r="P8" s="2769"/>
      <c r="Q8" s="2769"/>
      <c r="R8" s="869">
        <v>1</v>
      </c>
      <c r="S8" s="2470">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550</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551</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552</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50882" customFormat="1" customHeight="1" ht="0.75" hidden="1">
      <c r="A13" s="1886"/>
      <c r="B13" s="1886"/>
      <c r="C13" s="1886"/>
      <c r="D13" s="1886"/>
      <c r="E13" s="2802"/>
      <c r="F13" s="2802"/>
      <c r="G13" s="2801"/>
      <c r="H13" s="1886"/>
      <c r="I13" s="1886"/>
      <c r="J13" s="1886"/>
      <c r="K13" s="1886"/>
      <c r="L13" s="1889"/>
      <c r="M13" s="1890"/>
      <c r="N13" s="1890"/>
      <c r="O13" s="863"/>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50882" customFormat="1" customHeight="1" ht="0.75" hidden="1">
      <c r="A14" s="1886"/>
      <c r="B14" s="1886"/>
      <c r="C14" s="1886"/>
      <c r="D14" s="1886"/>
      <c r="E14" s="2802"/>
      <c r="F14" s="2801"/>
      <c r="G14" s="1886"/>
      <c r="H14" s="1886"/>
      <c r="I14" s="1886"/>
      <c r="J14" s="1886"/>
      <c r="K14" s="1886"/>
      <c r="L14" s="1889"/>
      <c r="M14" s="1891"/>
      <c r="N14" s="1891"/>
      <c r="O14" s="86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50882" customFormat="1" customHeight="1" ht="0.75" hidden="1">
      <c r="A15" s="1886"/>
      <c r="B15" s="1886"/>
      <c r="C15" s="1886"/>
      <c r="D15" s="1886"/>
      <c r="E15" s="2801"/>
      <c r="F15" s="1886"/>
      <c r="G15" s="1886"/>
      <c r="H15" s="1886"/>
      <c r="I15" s="1886"/>
      <c r="J15" s="1886"/>
      <c r="K15" s="1886"/>
      <c r="L15" s="1889"/>
      <c r="M15" s="1891"/>
      <c r="N15" s="1891"/>
      <c r="O15" s="86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63</v>
      </c>
      <c r="AJ17" s="2779"/>
      <c r="AK17" s="2780" t="s">
        <v>63</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50881" customFormat="1" customHeight="1" ht="14.25" hidden="1">
      <c r="A20" s="2143"/>
      <c r="B20" s="2143"/>
      <c r="C20" s="2143"/>
      <c r="D20" s="2143"/>
      <c r="E20" s="2143"/>
      <c r="F20" s="2143"/>
      <c r="G20" s="2143"/>
      <c r="H20" s="2143"/>
      <c r="I20" s="2143"/>
      <c r="J20" s="2143"/>
      <c r="K20" s="2143"/>
      <c r="L20" s="2451"/>
      <c r="M20" s="2477"/>
      <c r="N20" s="2477"/>
      <c r="O20" s="1857" t="s">
        <v>554</v>
      </c>
      <c r="P20" s="1874"/>
      <c r="Q20" s="1883"/>
      <c r="R20" s="1883"/>
      <c r="S20" s="1241"/>
      <c r="Z20" s="1879"/>
      <c r="AB20" s="1879"/>
      <c r="AH20" s="1879"/>
      <c r="AJ20" s="1879"/>
      <c r="AN20" s="2148"/>
      <c r="AO20" s="2148"/>
      <c r="AP20" s="2148"/>
      <c r="AQ20" s="2148"/>
      <c r="AR20" s="2148"/>
      <c r="AS20" s="1878">
        <v>0</v>
      </c>
    </row>
    <row s="50881"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50881" customFormat="1" customHeight="1" ht="14.25" hidden="1">
      <c r="A22" s="2143"/>
      <c r="B22" s="2143"/>
      <c r="C22" s="2143"/>
      <c r="D22" s="2143"/>
      <c r="E22" s="2143"/>
      <c r="F22" s="2143"/>
      <c r="G22" s="2143"/>
      <c r="H22" s="2143"/>
      <c r="I22" s="2143"/>
      <c r="J22" s="2143"/>
      <c r="K22" s="2143"/>
      <c r="L22" s="2451"/>
      <c r="M22" s="2477"/>
      <c r="N22" s="2477"/>
      <c r="O22" s="1822" t="s">
        <v>555</v>
      </c>
      <c r="P22" s="1874"/>
      <c r="Q22" s="1883"/>
      <c r="R22" s="1883"/>
      <c r="S22" s="1241"/>
      <c r="T22" s="1878" t="s">
        <v>556</v>
      </c>
      <c r="AA22" s="1107" t="s">
        <v>557</v>
      </c>
      <c r="AC22" s="1107" t="s">
        <v>558</v>
      </c>
      <c r="AD22" s="1878" t="s">
        <v>556</v>
      </c>
      <c r="AI22" s="1107" t="s">
        <v>559</v>
      </c>
      <c r="AK22" s="1107" t="s">
        <v>558</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51018"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2147"/>
      <c r="AD29" s="2763" t="str">
        <f>IF(TITLE_NAME_OR_PR_CHANGE="",IF(TITLE_NAME_OR_PR="","",TITLE_NAME_OR_PR),TITLE_NAME_OR_PR_CHANGE)</f>
        <v>Агентство по тарифам Приморского края</v>
      </c>
      <c r="AE29" s="2763"/>
      <c r="AF29" s="2763"/>
      <c r="AG29" s="2763"/>
      <c r="AH29" s="2763"/>
      <c r="AI29" s="2763"/>
      <c r="AJ29" s="2763"/>
      <c r="AK29" s="2147"/>
      <c r="AL29" s="2147"/>
      <c r="AM29" s="792"/>
      <c r="AN29" s="880"/>
      <c r="AO29" s="880"/>
      <c r="AP29" s="880"/>
      <c r="AQ29" s="880"/>
      <c r="AR29" s="880"/>
      <c r="AS29" s="930">
        <v>0</v>
      </c>
    </row>
    <row s="51018" customFormat="1" customHeight="1" ht="18.75" hidden="1">
      <c r="A30" s="1760"/>
      <c r="B30" s="1760"/>
      <c r="C30" s="1760"/>
      <c r="D30" s="1760"/>
      <c r="E30" s="1760"/>
      <c r="F30" s="1760"/>
      <c r="G30" s="1760"/>
      <c r="H30" s="1760"/>
      <c r="I30" s="1760"/>
      <c r="J30" s="1760"/>
      <c r="K30" s="1760"/>
      <c r="L30" s="1892"/>
      <c r="M30" s="1760"/>
      <c r="N30" s="1760"/>
      <c r="O30" s="1760"/>
      <c r="S30" s="2762" t="s">
        <v>560</v>
      </c>
      <c r="T30" s="2762"/>
      <c r="U30" s="1884"/>
      <c r="V30" s="2776" t="str">
        <f>IF(TITLE_DATE_PR_CHANGE="",IF(TITLE_DATE_PR="","",TITLE_DATE_PR),TITLE_DATE_PR_CHANGE)</f>
        <v>45631.710694444446</v>
      </c>
      <c r="W30" s="2776"/>
      <c r="X30" s="2776"/>
      <c r="Y30" s="2776"/>
      <c r="Z30" s="2776"/>
      <c r="AA30" s="2776"/>
      <c r="AB30" s="2776"/>
      <c r="AC30" s="2147"/>
      <c r="AD30" s="2776" t="str">
        <f>IF(TITLE_DATE_PR_CHANGE="",IF(TITLE_DATE_PR="","",TITLE_DATE_PR),TITLE_DATE_PR_CHANGE)</f>
        <v>45631.710694444446</v>
      </c>
      <c r="AE30" s="2776"/>
      <c r="AF30" s="2776"/>
      <c r="AG30" s="2776"/>
      <c r="AH30" s="2776"/>
      <c r="AI30" s="2776"/>
      <c r="AJ30" s="2776"/>
      <c r="AK30" s="2147"/>
      <c r="AL30" s="2147"/>
      <c r="AM30" s="792"/>
      <c r="AN30" s="880"/>
      <c r="AO30" s="880"/>
      <c r="AP30" s="880"/>
      <c r="AQ30" s="880"/>
      <c r="AR30" s="880"/>
      <c r="AS30" s="930">
        <v>0</v>
      </c>
    </row>
    <row s="51018" customFormat="1" customHeight="1" ht="18.75" hidden="1">
      <c r="A31" s="1760"/>
      <c r="B31" s="1760"/>
      <c r="C31" s="1760"/>
      <c r="D31" s="1760"/>
      <c r="E31" s="1760"/>
      <c r="F31" s="1760"/>
      <c r="G31" s="1760"/>
      <c r="H31" s="1760"/>
      <c r="I31" s="1760"/>
      <c r="J31" s="1760"/>
      <c r="K31" s="1760"/>
      <c r="L31" s="1892"/>
      <c r="M31" s="1760"/>
      <c r="N31" s="1760"/>
      <c r="O31" s="1760"/>
      <c r="S31" s="2762" t="s">
        <v>561</v>
      </c>
      <c r="T31" s="2762"/>
      <c r="U31" s="1884"/>
      <c r="V31" s="2763" t="str">
        <f>IF(TITLE_NUMBER_PR_CHANGE="",IF(TITLE_NUMBER_PR="","",TITLE_NUMBER_PR),TITLE_NUMBER_PR_CHANGE)</f>
        <v>53/9</v>
      </c>
      <c r="W31" s="2763"/>
      <c r="X31" s="2763"/>
      <c r="Y31" s="2763"/>
      <c r="Z31" s="2763"/>
      <c r="AA31" s="2763"/>
      <c r="AB31" s="2763"/>
      <c r="AC31" s="2147"/>
      <c r="AD31" s="2763" t="str">
        <f>IF(TITLE_NUMBER_PR_CHANGE="",IF(TITLE_NUMBER_PR="","",TITLE_NUMBER_PR),TITLE_NUMBER_PR_CHANGE)</f>
        <v>53/9</v>
      </c>
      <c r="AE31" s="2763"/>
      <c r="AF31" s="2763"/>
      <c r="AG31" s="2763"/>
      <c r="AH31" s="2763"/>
      <c r="AI31" s="2763"/>
      <c r="AJ31" s="2763"/>
      <c r="AK31" s="2147"/>
      <c r="AL31" s="2147"/>
      <c r="AM31" s="792"/>
      <c r="AN31" s="880"/>
      <c r="AO31" s="880"/>
      <c r="AP31" s="880"/>
      <c r="AQ31" s="880"/>
      <c r="AR31" s="880"/>
      <c r="AS31" s="930">
        <v>0</v>
      </c>
    </row>
    <row s="51018" customFormat="1" customHeight="1" ht="18.75" hidden="1">
      <c r="A32" s="1760"/>
      <c r="B32" s="1760"/>
      <c r="C32" s="1760"/>
      <c r="D32" s="1760"/>
      <c r="E32" s="1760"/>
      <c r="F32" s="1760"/>
      <c r="G32" s="1760"/>
      <c r="H32" s="1760"/>
      <c r="I32" s="1760"/>
      <c r="J32" s="1760"/>
      <c r="K32" s="1760"/>
      <c r="L32" s="1892"/>
      <c r="M32" s="1760"/>
      <c r="N32" s="1760"/>
      <c r="O32" s="1760"/>
      <c r="S32" s="2762" t="s">
        <v>44</v>
      </c>
      <c r="T32" s="2762"/>
      <c r="U32" s="1884"/>
      <c r="V32" s="2763" t="str">
        <f>IF(TITLE_IST_PUB_CHANGE="",IF(TITLE_IST_PUB="","",TITLE_IST_PUB),TITLE_IST_PUB_CHANGE)</f>
        <v>http://pravo.gov.ru</v>
      </c>
      <c r="W32" s="2763"/>
      <c r="X32" s="2763"/>
      <c r="Y32" s="2763"/>
      <c r="Z32" s="2763"/>
      <c r="AA32" s="2763"/>
      <c r="AB32" s="2763"/>
      <c r="AC32" s="2147"/>
      <c r="AD32" s="2763" t="str">
        <f>IF(TITLE_IST_PUB_CHANGE="",IF(TITLE_IST_PUB="","",TITLE_IST_PUB),TITLE_IST_PUB_CHANGE)</f>
        <v>http://pravo.gov.ru</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51018" customFormat="1" customHeight="1" ht="18.75" hidden="1">
      <c r="A34" s="1760"/>
      <c r="B34" s="1760"/>
      <c r="C34" s="1760"/>
      <c r="D34" s="1760"/>
      <c r="E34" s="1760"/>
      <c r="F34" s="1760"/>
      <c r="G34" s="1760"/>
      <c r="H34" s="1760"/>
      <c r="I34" s="1760"/>
      <c r="J34" s="1760"/>
      <c r="K34" s="1760"/>
      <c r="L34" s="1892"/>
      <c r="M34" s="1760"/>
      <c r="N34" s="1760"/>
      <c r="O34" s="1760"/>
      <c r="S34" s="2762" t="s">
        <v>562</v>
      </c>
      <c r="T34" s="2762"/>
      <c r="U34" s="1884"/>
      <c r="V34" s="2776" t="str">
        <f>IF(TITLE_DATE_PR_CHANGE="",IF(TITLE_DATE_PR="","",TITLE_DATE_PR),TITLE_DATE_PR_CHANGE)</f>
        <v>45631.710694444446</v>
      </c>
      <c r="W34" s="2776"/>
      <c r="X34" s="2776"/>
      <c r="Y34" s="2776"/>
      <c r="Z34" s="2776"/>
      <c r="AA34" s="2776"/>
      <c r="AB34" s="2776"/>
      <c r="AC34" s="2147"/>
      <c r="AD34" s="2776" t="str">
        <f>IF(TITLE_DATE_PR_CHANGE="",IF(TITLE_DATE_PR="","",TITLE_DATE_PR),TITLE_DATE_PR_CHANGE)</f>
        <v>45631.710694444446</v>
      </c>
      <c r="AE34" s="2776"/>
      <c r="AF34" s="2776"/>
      <c r="AG34" s="2776"/>
      <c r="AH34" s="2776"/>
      <c r="AI34" s="2776"/>
      <c r="AJ34" s="2776"/>
      <c r="AK34" s="2147"/>
      <c r="AL34" s="2147"/>
      <c r="AM34" s="792"/>
      <c r="AN34" s="880"/>
      <c r="AO34" s="880"/>
      <c r="AP34" s="880"/>
      <c r="AQ34" s="880"/>
      <c r="AR34" s="880"/>
      <c r="AS34" s="930">
        <v>0</v>
      </c>
    </row>
    <row s="51018" customFormat="1" customHeight="1" ht="18.75" hidden="1">
      <c r="A35" s="1760"/>
      <c r="B35" s="1760"/>
      <c r="C35" s="1760"/>
      <c r="D35" s="1760"/>
      <c r="E35" s="1760"/>
      <c r="F35" s="1760"/>
      <c r="G35" s="1760"/>
      <c r="H35" s="1760"/>
      <c r="I35" s="1760"/>
      <c r="J35" s="1760"/>
      <c r="K35" s="1760"/>
      <c r="L35" s="1892"/>
      <c r="M35" s="1760"/>
      <c r="N35" s="1760"/>
      <c r="O35" s="1760"/>
      <c r="S35" s="2762" t="s">
        <v>563</v>
      </c>
      <c r="T35" s="2762"/>
      <c r="U35" s="1884"/>
      <c r="V35" s="2763" t="str">
        <f>IF(TITLE_NUMBER_PR_CHANGE="",IF(TITLE_NUMBER_PR="","",TITLE_NUMBER_PR),TITLE_NUMBER_PR_CHANGE)</f>
        <v>53/9</v>
      </c>
      <c r="W35" s="2763"/>
      <c r="X35" s="2763"/>
      <c r="Y35" s="2763"/>
      <c r="Z35" s="2763"/>
      <c r="AA35" s="2763"/>
      <c r="AB35" s="2763"/>
      <c r="AC35" s="2147"/>
      <c r="AD35" s="2763" t="str">
        <f>IF(TITLE_NUMBER_PR_CHANGE="",IF(TITLE_NUMBER_PR="","",TITLE_NUMBER_PR),TITLE_NUMBER_PR_CHANGE)</f>
        <v>53/9</v>
      </c>
      <c r="AE35" s="2763"/>
      <c r="AF35" s="2763"/>
      <c r="AG35" s="2763"/>
      <c r="AH35" s="2763"/>
      <c r="AI35" s="2763"/>
      <c r="AJ35" s="2763"/>
      <c r="AK35" s="2147"/>
      <c r="AL35" s="2147"/>
      <c r="AM35" s="792"/>
      <c r="AN35" s="880"/>
      <c r="AO35" s="880"/>
      <c r="AP35" s="880"/>
      <c r="AQ35" s="880"/>
      <c r="AR35" s="880"/>
      <c r="AS35" s="930">
        <v>0</v>
      </c>
    </row>
    <row s="51018"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564</v>
      </c>
      <c r="AD36" s="2147"/>
      <c r="AE36" s="2147"/>
      <c r="AF36" s="2147"/>
      <c r="AG36" s="2147"/>
      <c r="AH36" s="2147"/>
      <c r="AI36" s="2147"/>
      <c r="AJ36" s="2147"/>
      <c r="AK36" s="2154" t="s">
        <v>564</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2143">
        <v>14</v>
      </c>
    </row>
    <row customHeight="1" ht="14.699999999999998">
      <c r="Q39" s="888"/>
      <c r="R39" s="888"/>
      <c r="S39" s="2785" t="s">
        <v>90</v>
      </c>
      <c r="T39" s="2721" t="s">
        <v>565</v>
      </c>
      <c r="U39" s="849"/>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2143">
        <v>14</v>
      </c>
    </row>
    <row customHeight="1" ht="35.699999999999996">
      <c r="Q40" s="888"/>
      <c r="R40" s="888"/>
      <c r="S40" s="2785"/>
      <c r="T40" s="2721"/>
      <c r="U40" s="1543"/>
      <c r="V40" s="2772" t="s">
        <v>570</v>
      </c>
      <c r="W40" s="2795" t="s">
        <v>571</v>
      </c>
      <c r="X40" s="2774" t="s">
        <v>572</v>
      </c>
      <c r="Y40" s="2775"/>
      <c r="Z40" s="2774" t="s">
        <v>585</v>
      </c>
      <c r="AA40" s="2781"/>
      <c r="AB40" s="2775"/>
      <c r="AC40" s="2790"/>
      <c r="AD40" s="2772" t="s">
        <v>570</v>
      </c>
      <c r="AE40" s="2795" t="s">
        <v>571</v>
      </c>
      <c r="AF40" s="2774" t="s">
        <v>572</v>
      </c>
      <c r="AG40" s="2775"/>
      <c r="AH40" s="2774" t="s">
        <v>573</v>
      </c>
      <c r="AI40" s="2781"/>
      <c r="AJ40" s="2775"/>
      <c r="AK40" s="2790"/>
      <c r="AL40" s="2793"/>
      <c r="AM40" s="2639"/>
      <c r="AS40" s="2143">
        <v>34</v>
      </c>
    </row>
    <row customHeight="1" ht="35.699999999999996">
      <c r="A41" s="1778"/>
      <c r="B41" s="1778" t="s">
        <v>201</v>
      </c>
      <c r="C41" s="1778" t="s">
        <v>202</v>
      </c>
      <c r="D41" s="1778" t="s">
        <v>203</v>
      </c>
      <c r="E41" s="1822" t="s">
        <v>574</v>
      </c>
      <c r="F41" s="1822" t="s">
        <v>575</v>
      </c>
      <c r="G41" s="1822" t="s">
        <v>576</v>
      </c>
      <c r="H41" s="1822" t="s">
        <v>577</v>
      </c>
      <c r="I41" s="1822" t="s">
        <v>578</v>
      </c>
      <c r="J41" s="1822" t="s">
        <v>579</v>
      </c>
      <c r="K41" s="1822" t="s">
        <v>580</v>
      </c>
      <c r="L41" s="1822" t="s">
        <v>555</v>
      </c>
      <c r="Q41" s="888"/>
      <c r="R41" s="888"/>
      <c r="S41" s="2785"/>
      <c r="T41" s="2721"/>
      <c r="U41" s="814"/>
      <c r="V41" s="2773"/>
      <c r="W41" s="2796"/>
      <c r="X41" s="2450" t="s">
        <v>581</v>
      </c>
      <c r="Y41" s="2450" t="s">
        <v>582</v>
      </c>
      <c r="Z41" s="2450" t="s">
        <v>583</v>
      </c>
      <c r="AA41" s="2782" t="s">
        <v>584</v>
      </c>
      <c r="AB41" s="2783"/>
      <c r="AC41" s="2791"/>
      <c r="AD41" s="2773"/>
      <c r="AE41" s="2796"/>
      <c r="AF41" s="2450" t="s">
        <v>581</v>
      </c>
      <c r="AG41" s="2450" t="s">
        <v>582</v>
      </c>
      <c r="AH41" s="2450" t="s">
        <v>583</v>
      </c>
      <c r="AI41" s="2782" t="s">
        <v>584</v>
      </c>
      <c r="AJ41" s="2783"/>
      <c r="AK41" s="2791"/>
      <c r="AL41" s="2794"/>
      <c r="AM41" s="2639"/>
      <c r="AS41" s="2143">
        <v>34</v>
      </c>
    </row>
    <row s="51564"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101</v>
      </c>
      <c r="T42" s="1767" t="s">
        <v>105</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270</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2136"/>
      <c r="AP43" s="2136" t="str">
        <f>IF(T43="","",T43)</f>
        <v>Наименование тарифа</v>
      </c>
      <c r="AQ43" s="2136"/>
      <c r="AR43" s="2136"/>
      <c r="AS43" s="2143">
        <v>21</v>
      </c>
    </row>
    <row customHeight="1" ht="22.049999999999997">
      <c r="A44" s="1779" t="s">
        <v>270</v>
      </c>
      <c r="B44" s="1779" t="s">
        <v>271</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2136"/>
      <c r="AP44" s="2136" t="str">
        <f>IF(T44="","",T44)</f>
        <v>Территория действия тарифа</v>
      </c>
      <c r="AQ44" s="2136"/>
      <c r="AR44" s="2136"/>
      <c r="AS44" s="2143">
        <v>21</v>
      </c>
    </row>
    <row customHeight="1" ht="24">
      <c r="A45" s="1779" t="s">
        <v>270</v>
      </c>
      <c r="B45" s="1779" t="s">
        <v>271</v>
      </c>
      <c r="C45" s="1779" t="s">
        <v>272</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2136"/>
      <c r="AP45" s="2136" t="str">
        <f>IF(T45="","",T45)</f>
        <v>Наименование системы теплоснабжения </v>
      </c>
      <c r="AQ45" s="2136"/>
      <c r="AR45" s="2136"/>
      <c r="AS45" s="2143">
        <v>23</v>
      </c>
    </row>
    <row customHeight="1" ht="22.049999999999997">
      <c r="A46" s="1779" t="s">
        <v>270</v>
      </c>
      <c r="B46" s="1779" t="s">
        <v>271</v>
      </c>
      <c r="C46" s="1779" t="s">
        <v>272</v>
      </c>
      <c r="D46" s="1779" t="s">
        <v>273</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2136"/>
      <c r="AP46" s="2136" t="str">
        <f>IF(T46="","",T46)</f>
        <v>Источник тепловой энергии  </v>
      </c>
      <c r="AQ46" s="2136"/>
      <c r="AR46" s="2136"/>
      <c r="AS46" s="2143">
        <v>21</v>
      </c>
    </row>
    <row customHeight="1" ht="49.5">
      <c r="A47" s="1779" t="s">
        <v>270</v>
      </c>
      <c r="B47" s="1779" t="s">
        <v>271</v>
      </c>
      <c r="C47" s="1779" t="s">
        <v>272</v>
      </c>
      <c r="D47" s="1779" t="s">
        <v>273</v>
      </c>
      <c r="E47" s="2802"/>
      <c r="F47" s="2802"/>
      <c r="G47" s="2802"/>
      <c r="H47" s="2802"/>
      <c r="I47" s="2639" t="str">
        <f>S46&amp;".1"</f>
        <v>....1</v>
      </c>
      <c r="J47" s="1779"/>
      <c r="K47" s="1779"/>
      <c r="L47" s="1822" t="s">
        <v>542</v>
      </c>
      <c r="P47" s="2769">
        <v>1</v>
      </c>
      <c r="Q47" s="2466"/>
      <c r="R47" s="868"/>
      <c r="S47" s="2470" t="str">
        <f>$I47</f>
        <v>....1</v>
      </c>
      <c r="T47" s="797" t="s">
        <v>543</v>
      </c>
      <c r="U47" s="812"/>
      <c r="V47" s="2757"/>
      <c r="W47" s="2758"/>
      <c r="X47" s="2758"/>
      <c r="Y47" s="2758"/>
      <c r="Z47" s="2758"/>
      <c r="AA47" s="2758"/>
      <c r="AB47" s="2758"/>
      <c r="AC47" s="2759"/>
      <c r="AD47" s="2757"/>
      <c r="AE47" s="2758"/>
      <c r="AF47" s="2758"/>
      <c r="AG47" s="2758"/>
      <c r="AH47" s="2758"/>
      <c r="AI47" s="2758"/>
      <c r="AJ47" s="2758"/>
      <c r="AK47" s="2758"/>
      <c r="AL47" s="2759"/>
      <c r="AM47" s="1770" t="s">
        <v>544</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270</v>
      </c>
      <c r="B48" s="1779" t="s">
        <v>271</v>
      </c>
      <c r="C48" s="1779" t="s">
        <v>272</v>
      </c>
      <c r="D48" s="1779" t="s">
        <v>273</v>
      </c>
      <c r="E48" s="2802"/>
      <c r="F48" s="2802"/>
      <c r="G48" s="2802"/>
      <c r="H48" s="2802"/>
      <c r="I48" s="2613"/>
      <c r="J48" s="2639" t="str">
        <f>I47&amp;".1"</f>
        <v>....1.1</v>
      </c>
      <c r="K48" s="1779"/>
      <c r="L48" s="1822" t="s">
        <v>545</v>
      </c>
      <c r="P48" s="2769"/>
      <c r="Q48" s="2769">
        <v>1</v>
      </c>
      <c r="R48" s="869"/>
      <c r="S48" s="2470" t="str">
        <f>$J48</f>
        <v>....1.1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2136"/>
      <c r="AP48" s="2136" t="str">
        <f>IF(T48="","",T48)</f>
        <v>Группа потребителей</v>
      </c>
      <c r="AQ48" s="2136"/>
      <c r="AR48" s="2136"/>
      <c r="AS48" s="2143">
        <v>21</v>
      </c>
    </row>
    <row customHeight="1" ht="22.049999999999997">
      <c r="A49" s="1779" t="s">
        <v>270</v>
      </c>
      <c r="B49" s="1779" t="s">
        <v>271</v>
      </c>
      <c r="C49" s="1779" t="s">
        <v>272</v>
      </c>
      <c r="D49" s="1779" t="s">
        <v>273</v>
      </c>
      <c r="E49" s="2802"/>
      <c r="F49" s="2802"/>
      <c r="G49" s="2802"/>
      <c r="H49" s="2802"/>
      <c r="I49" s="2613"/>
      <c r="J49" s="2613"/>
      <c r="K49" s="2639" t="str">
        <f>J48&amp;".1"</f>
        <v>....1.1.1</v>
      </c>
      <c r="L49" s="1822" t="s">
        <v>548</v>
      </c>
      <c r="P49" s="2769"/>
      <c r="Q49" s="2769"/>
      <c r="R49" s="869">
        <v>1</v>
      </c>
      <c r="S49" s="2470"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549</v>
      </c>
      <c r="AN49" s="2148">
        <f>STRCHECKDATE(V50:AL50)</f>
      </c>
      <c r="AO49" s="2136"/>
      <c r="AP49" s="2136" t="str">
        <f>IF(T49="","",T49)</f>
        <v/>
      </c>
      <c r="AQ49" s="2136"/>
      <c r="AR49" s="2136"/>
      <c r="AS49" s="2143">
        <v>21</v>
      </c>
    </row>
    <row customHeight="1" ht="1.05">
      <c r="A50" s="1779" t="s">
        <v>270</v>
      </c>
      <c r="B50" s="1779" t="s">
        <v>271</v>
      </c>
      <c r="C50" s="1779" t="s">
        <v>272</v>
      </c>
      <c r="D50" s="1779" t="s">
        <v>273</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270</v>
      </c>
      <c r="B51" s="1779" t="s">
        <v>271</v>
      </c>
      <c r="C51" s="1779" t="s">
        <v>272</v>
      </c>
      <c r="D51" s="1779" t="s">
        <v>273</v>
      </c>
      <c r="E51" s="2802"/>
      <c r="F51" s="2802"/>
      <c r="G51" s="2802"/>
      <c r="H51" s="2802"/>
      <c r="I51" s="2613"/>
      <c r="J51" s="2639"/>
      <c r="K51" s="1779"/>
      <c r="L51" s="1822"/>
      <c r="P51" s="2769"/>
      <c r="Q51" s="2769"/>
      <c r="R51" s="868"/>
      <c r="S51" s="1790"/>
      <c r="T51" s="800" t="s">
        <v>550</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270</v>
      </c>
      <c r="B52" s="1779" t="s">
        <v>271</v>
      </c>
      <c r="C52" s="1779" t="s">
        <v>272</v>
      </c>
      <c r="D52" s="1779" t="s">
        <v>273</v>
      </c>
      <c r="E52" s="2802"/>
      <c r="F52" s="2802"/>
      <c r="G52" s="2802"/>
      <c r="H52" s="2802"/>
      <c r="I52" s="2639"/>
      <c r="J52" s="1779"/>
      <c r="K52" s="1779"/>
      <c r="L52" s="1822"/>
      <c r="P52" s="2769"/>
      <c r="Q52" s="2466"/>
      <c r="R52" s="868"/>
      <c r="S52" s="1790"/>
      <c r="T52" s="799" t="s">
        <v>551</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270</v>
      </c>
      <c r="B53" s="1779" t="s">
        <v>271</v>
      </c>
      <c r="C53" s="1779" t="s">
        <v>272</v>
      </c>
      <c r="D53" s="1779" t="s">
        <v>273</v>
      </c>
      <c r="E53" s="2802"/>
      <c r="F53" s="2802"/>
      <c r="G53" s="2802"/>
      <c r="H53" s="2801"/>
      <c r="I53" s="1779"/>
      <c r="J53" s="1779"/>
      <c r="K53" s="1779"/>
      <c r="L53" s="1822"/>
      <c r="M53" s="2122"/>
      <c r="N53" s="2122"/>
      <c r="O53" s="2147"/>
      <c r="P53" s="872"/>
      <c r="Q53" s="887"/>
      <c r="R53" s="867"/>
      <c r="S53" s="1790"/>
      <c r="T53" s="877" t="s">
        <v>552</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50882" customFormat="1" customHeight="1" ht="4.2">
      <c r="A54" s="1887" t="s">
        <v>270</v>
      </c>
      <c r="B54" s="1887" t="s">
        <v>271</v>
      </c>
      <c r="C54" s="1887" t="s">
        <v>272</v>
      </c>
      <c r="D54" s="1886"/>
      <c r="E54" s="2802"/>
      <c r="F54" s="2802"/>
      <c r="G54" s="2801"/>
      <c r="H54" s="1886"/>
      <c r="I54" s="1886"/>
      <c r="J54" s="1886"/>
      <c r="K54" s="1886"/>
      <c r="L54" s="1889"/>
      <c r="M54" s="1890"/>
      <c r="N54" s="1890"/>
      <c r="O54" s="863"/>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4</v>
      </c>
    </row>
    <row s="50882" customFormat="1" customHeight="1" ht="4.2">
      <c r="A55" s="1887" t="s">
        <v>270</v>
      </c>
      <c r="B55" s="1887" t="s">
        <v>271</v>
      </c>
      <c r="C55" s="1886"/>
      <c r="D55" s="1886"/>
      <c r="E55" s="2802"/>
      <c r="F55" s="2801"/>
      <c r="G55" s="1886"/>
      <c r="H55" s="1886"/>
      <c r="I55" s="1886"/>
      <c r="J55" s="1886"/>
      <c r="K55" s="1886"/>
      <c r="L55" s="1889"/>
      <c r="M55" s="1891"/>
      <c r="N55" s="1891"/>
      <c r="O55" s="86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4</v>
      </c>
    </row>
    <row s="50882" customFormat="1" customHeight="1" ht="4.2">
      <c r="A56" s="1887" t="s">
        <v>270</v>
      </c>
      <c r="B56" s="1887"/>
      <c r="C56" s="1887"/>
      <c r="D56" s="1887"/>
      <c r="E56" s="2801"/>
      <c r="F56" s="1887"/>
      <c r="G56" s="1887"/>
      <c r="H56" s="1887"/>
      <c r="I56" s="1887"/>
      <c r="J56" s="1887"/>
      <c r="K56" s="1887"/>
      <c r="L56" s="1893"/>
      <c r="M56" s="1891"/>
      <c r="N56" s="1891"/>
      <c r="O56" s="863"/>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4</v>
      </c>
    </row>
    <row s="50882" customFormat="1" customHeight="1" ht="4.2">
      <c r="A57" s="1886"/>
      <c r="B57" s="1886"/>
      <c r="C57" s="1886"/>
      <c r="D57" s="1886"/>
      <c r="E57" s="1887"/>
      <c r="F57" s="1886"/>
      <c r="G57" s="1886"/>
      <c r="H57" s="1886"/>
      <c r="I57" s="1886"/>
      <c r="J57" s="1886"/>
      <c r="K57" s="1886"/>
      <c r="L57" s="1889"/>
      <c r="M57" s="1891"/>
      <c r="N57" s="1891"/>
      <c r="O57" s="86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4</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84</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F7522C-2A63-9551-B4E2-FE24DC5A3D8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50801" width="10.57421875" hidden="1"/>
    <col min="2" max="2" style="50801" width="11.00390625" hidden="1" customWidth="1"/>
    <col min="3" max="3" style="50801" width="10.57421875" hidden="1"/>
    <col min="4" max="4" style="50801" width="11.8515625" hidden="1" customWidth="1"/>
    <col min="5" max="5" style="50801" width="10.00390625" hidden="1" customWidth="1"/>
    <col min="6" max="6" style="50801" width="8.7109375" hidden="1" customWidth="1"/>
    <col min="7" max="7" style="50801" width="7.57421875" hidden="1" customWidth="1"/>
    <col min="8" max="8" style="50801" width="11.421875" hidden="1" customWidth="1"/>
    <col min="9" max="9" style="50801" width="12.00390625" hidden="1" customWidth="1"/>
    <col min="10" max="10" style="50801" width="9.8515625" hidden="1" customWidth="1"/>
    <col min="11" max="11" style="50801" width="11.421875" hidden="1" customWidth="1"/>
    <col min="12" max="12" style="50879" width="19.140625" hidden="1" customWidth="1"/>
    <col min="13" max="14" style="51808" width="12.28125" hidden="1" customWidth="1"/>
    <col min="15" max="15" style="51808" width="23.421875" hidden="1" customWidth="1"/>
    <col min="16" max="16" style="51808" width="3.00390625"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542</v>
      </c>
      <c r="M6" s="2147"/>
      <c r="P6" s="2769">
        <v>1</v>
      </c>
      <c r="Q6" s="2466"/>
      <c r="R6" s="868"/>
      <c r="S6" s="2470">
        <f>$I6</f>
      </c>
      <c r="T6" s="797" t="s">
        <v>543</v>
      </c>
      <c r="U6" s="812"/>
      <c r="V6" s="2757"/>
      <c r="W6" s="2758"/>
      <c r="X6" s="2758"/>
      <c r="Y6" s="2758"/>
      <c r="Z6" s="2758"/>
      <c r="AA6" s="2758"/>
      <c r="AB6" s="2758"/>
      <c r="AC6" s="2759"/>
      <c r="AD6" s="2757"/>
      <c r="AE6" s="2758"/>
      <c r="AF6" s="2758"/>
      <c r="AG6" s="2758"/>
      <c r="AH6" s="2758"/>
      <c r="AI6" s="2758"/>
      <c r="AJ6" s="2758"/>
      <c r="AK6" s="2758"/>
      <c r="AL6" s="2759"/>
      <c r="AM6" s="1770" t="s">
        <v>544</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545</v>
      </c>
      <c r="M7" s="2147"/>
      <c r="N7" s="2143"/>
      <c r="P7" s="2769"/>
      <c r="Q7" s="2769">
        <v>1</v>
      </c>
      <c r="R7" s="869"/>
      <c r="S7" s="2470">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548</v>
      </c>
      <c r="M8" s="2147"/>
      <c r="N8" s="2143"/>
      <c r="O8" s="2143"/>
      <c r="P8" s="2769"/>
      <c r="Q8" s="2769"/>
      <c r="R8" s="869">
        <v>1</v>
      </c>
      <c r="S8" s="2470">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550</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551</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552</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50882" customFormat="1" customHeight="1" ht="0.75" hidden="1">
      <c r="A13" s="2486"/>
      <c r="B13" s="2486"/>
      <c r="C13" s="2486"/>
      <c r="D13" s="2486"/>
      <c r="E13" s="2802"/>
      <c r="F13" s="2802"/>
      <c r="G13" s="2801"/>
      <c r="H13" s="2486"/>
      <c r="I13" s="2486"/>
      <c r="J13" s="2486"/>
      <c r="K13" s="2486"/>
      <c r="L13" s="1892"/>
      <c r="M13" s="2122"/>
      <c r="N13" s="2122"/>
      <c r="O13" s="214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50882" customFormat="1" customHeight="1" ht="0.75" hidden="1">
      <c r="A14" s="2486"/>
      <c r="B14" s="2486"/>
      <c r="C14" s="2486"/>
      <c r="D14" s="2486"/>
      <c r="E14" s="2802"/>
      <c r="F14" s="2801"/>
      <c r="G14" s="2486"/>
      <c r="H14" s="2486"/>
      <c r="I14" s="2486"/>
      <c r="J14" s="2486"/>
      <c r="K14" s="2486"/>
      <c r="L14" s="1892"/>
      <c r="M14" s="2487"/>
      <c r="N14" s="2487"/>
      <c r="O14" s="2147"/>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50882" customFormat="1" customHeight="1" ht="0.75" hidden="1">
      <c r="A15" s="2486"/>
      <c r="B15" s="2486"/>
      <c r="C15" s="2486"/>
      <c r="D15" s="2486"/>
      <c r="E15" s="2801"/>
      <c r="F15" s="2486"/>
      <c r="G15" s="2486"/>
      <c r="H15" s="2486"/>
      <c r="I15" s="2486"/>
      <c r="J15" s="2486"/>
      <c r="K15" s="2486"/>
      <c r="L15" s="1892"/>
      <c r="M15" s="2487"/>
      <c r="N15" s="2487"/>
      <c r="O15" s="2147"/>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63</v>
      </c>
      <c r="AJ17" s="2779"/>
      <c r="AK17" s="2780" t="s">
        <v>63</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50881" customFormat="1" customHeight="1" ht="14.25" hidden="1">
      <c r="A20" s="2143"/>
      <c r="B20" s="2143"/>
      <c r="C20" s="2143"/>
      <c r="D20" s="2143"/>
      <c r="E20" s="2143"/>
      <c r="F20" s="2143"/>
      <c r="G20" s="2143"/>
      <c r="H20" s="2143"/>
      <c r="I20" s="2143"/>
      <c r="J20" s="2143"/>
      <c r="K20" s="2143"/>
      <c r="L20" s="2451"/>
      <c r="M20" s="2477"/>
      <c r="N20" s="2477"/>
      <c r="O20" s="1857" t="s">
        <v>554</v>
      </c>
      <c r="P20" s="1874"/>
      <c r="Q20" s="1883"/>
      <c r="R20" s="1883"/>
      <c r="S20" s="1241"/>
      <c r="Z20" s="1879"/>
      <c r="AB20" s="1879"/>
      <c r="AH20" s="1879"/>
      <c r="AJ20" s="1879"/>
      <c r="AN20" s="2148"/>
      <c r="AO20" s="2148"/>
      <c r="AP20" s="2148"/>
      <c r="AQ20" s="2148"/>
      <c r="AR20" s="2148"/>
      <c r="AS20" s="1878">
        <v>0</v>
      </c>
    </row>
    <row s="50881"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50881" customFormat="1" customHeight="1" ht="14.25" hidden="1">
      <c r="A22" s="2143"/>
      <c r="B22" s="2143"/>
      <c r="C22" s="2143"/>
      <c r="D22" s="2143"/>
      <c r="E22" s="2143"/>
      <c r="F22" s="2143"/>
      <c r="G22" s="2143"/>
      <c r="H22" s="2143"/>
      <c r="I22" s="2143"/>
      <c r="J22" s="2143"/>
      <c r="K22" s="2143"/>
      <c r="L22" s="2451"/>
      <c r="M22" s="2477"/>
      <c r="N22" s="2477"/>
      <c r="O22" s="1822" t="s">
        <v>555</v>
      </c>
      <c r="P22" s="1874"/>
      <c r="Q22" s="1883"/>
      <c r="R22" s="1883"/>
      <c r="S22" s="1241"/>
      <c r="T22" s="1878" t="s">
        <v>556</v>
      </c>
      <c r="AA22" s="1107" t="s">
        <v>557</v>
      </c>
      <c r="AC22" s="1107" t="s">
        <v>558</v>
      </c>
      <c r="AD22" s="1878" t="s">
        <v>556</v>
      </c>
      <c r="AI22" s="1107" t="s">
        <v>559</v>
      </c>
      <c r="AK22" s="1107" t="s">
        <v>558</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51018"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2147"/>
      <c r="AD29" s="2763" t="str">
        <f>IF(TITLE_NAME_OR_PR_CHANGE="",IF(TITLE_NAME_OR_PR="","",TITLE_NAME_OR_PR),TITLE_NAME_OR_PR_CHANGE)</f>
        <v>Агентство по тарифам Приморского края</v>
      </c>
      <c r="AE29" s="2763"/>
      <c r="AF29" s="2763"/>
      <c r="AG29" s="2763"/>
      <c r="AH29" s="2763"/>
      <c r="AI29" s="2763"/>
      <c r="AJ29" s="2763"/>
      <c r="AK29" s="2147"/>
      <c r="AL29" s="2147"/>
      <c r="AM29" s="792"/>
      <c r="AN29" s="880"/>
      <c r="AO29" s="880"/>
      <c r="AP29" s="880"/>
      <c r="AQ29" s="880"/>
      <c r="AR29" s="880"/>
      <c r="AS29" s="930">
        <v>0</v>
      </c>
    </row>
    <row s="51018" customFormat="1" customHeight="1" ht="18.75" hidden="1">
      <c r="A30" s="1760"/>
      <c r="B30" s="1760"/>
      <c r="C30" s="1760"/>
      <c r="D30" s="1760"/>
      <c r="E30" s="1760"/>
      <c r="F30" s="1760"/>
      <c r="G30" s="1760"/>
      <c r="H30" s="1760"/>
      <c r="I30" s="1760"/>
      <c r="J30" s="1760"/>
      <c r="K30" s="1760"/>
      <c r="L30" s="1892"/>
      <c r="M30" s="1760"/>
      <c r="N30" s="1760"/>
      <c r="O30" s="1760"/>
      <c r="S30" s="2762" t="s">
        <v>560</v>
      </c>
      <c r="T30" s="2762"/>
      <c r="U30" s="1884"/>
      <c r="V30" s="2776" t="str">
        <f>IF(TITLE_DATE_PR_CHANGE="",IF(TITLE_DATE_PR="","",TITLE_DATE_PR),TITLE_DATE_PR_CHANGE)</f>
        <v>45631.710694444446</v>
      </c>
      <c r="W30" s="2776"/>
      <c r="X30" s="2776"/>
      <c r="Y30" s="2776"/>
      <c r="Z30" s="2776"/>
      <c r="AA30" s="2776"/>
      <c r="AB30" s="2776"/>
      <c r="AC30" s="2147"/>
      <c r="AD30" s="2776" t="str">
        <f>IF(TITLE_DATE_PR_CHANGE="",IF(TITLE_DATE_PR="","",TITLE_DATE_PR),TITLE_DATE_PR_CHANGE)</f>
        <v>45631.710694444446</v>
      </c>
      <c r="AE30" s="2776"/>
      <c r="AF30" s="2776"/>
      <c r="AG30" s="2776"/>
      <c r="AH30" s="2776"/>
      <c r="AI30" s="2776"/>
      <c r="AJ30" s="2776"/>
      <c r="AK30" s="2147"/>
      <c r="AL30" s="2147"/>
      <c r="AM30" s="792"/>
      <c r="AN30" s="880"/>
      <c r="AO30" s="880"/>
      <c r="AP30" s="880"/>
      <c r="AQ30" s="880"/>
      <c r="AR30" s="880"/>
      <c r="AS30" s="930">
        <v>0</v>
      </c>
    </row>
    <row s="51018" customFormat="1" customHeight="1" ht="18.75" hidden="1">
      <c r="A31" s="1760"/>
      <c r="B31" s="1760"/>
      <c r="C31" s="1760"/>
      <c r="D31" s="1760"/>
      <c r="E31" s="1760"/>
      <c r="F31" s="1760"/>
      <c r="G31" s="1760"/>
      <c r="H31" s="1760"/>
      <c r="I31" s="1760"/>
      <c r="J31" s="1760"/>
      <c r="K31" s="1760"/>
      <c r="L31" s="1892"/>
      <c r="M31" s="1760"/>
      <c r="N31" s="1760"/>
      <c r="O31" s="1760"/>
      <c r="S31" s="2762" t="s">
        <v>561</v>
      </c>
      <c r="T31" s="2762"/>
      <c r="U31" s="1884"/>
      <c r="V31" s="2763" t="str">
        <f>IF(TITLE_NUMBER_PR_CHANGE="",IF(TITLE_NUMBER_PR="","",TITLE_NUMBER_PR),TITLE_NUMBER_PR_CHANGE)</f>
        <v>53/9</v>
      </c>
      <c r="W31" s="2763"/>
      <c r="X31" s="2763"/>
      <c r="Y31" s="2763"/>
      <c r="Z31" s="2763"/>
      <c r="AA31" s="2763"/>
      <c r="AB31" s="2763"/>
      <c r="AC31" s="2147"/>
      <c r="AD31" s="2763" t="str">
        <f>IF(TITLE_NUMBER_PR_CHANGE="",IF(TITLE_NUMBER_PR="","",TITLE_NUMBER_PR),TITLE_NUMBER_PR_CHANGE)</f>
        <v>53/9</v>
      </c>
      <c r="AE31" s="2763"/>
      <c r="AF31" s="2763"/>
      <c r="AG31" s="2763"/>
      <c r="AH31" s="2763"/>
      <c r="AI31" s="2763"/>
      <c r="AJ31" s="2763"/>
      <c r="AK31" s="2147"/>
      <c r="AL31" s="2147"/>
      <c r="AM31" s="792"/>
      <c r="AN31" s="880"/>
      <c r="AO31" s="880"/>
      <c r="AP31" s="880"/>
      <c r="AQ31" s="880"/>
      <c r="AR31" s="880"/>
      <c r="AS31" s="930">
        <v>0</v>
      </c>
    </row>
    <row s="51018" customFormat="1" customHeight="1" ht="18.75" hidden="1">
      <c r="A32" s="1760"/>
      <c r="B32" s="1760"/>
      <c r="C32" s="1760"/>
      <c r="D32" s="1760"/>
      <c r="E32" s="1760"/>
      <c r="F32" s="1760"/>
      <c r="G32" s="1760"/>
      <c r="H32" s="1760"/>
      <c r="I32" s="1760"/>
      <c r="J32" s="1760"/>
      <c r="K32" s="1760"/>
      <c r="L32" s="1892"/>
      <c r="M32" s="1760"/>
      <c r="N32" s="1760"/>
      <c r="O32" s="1760"/>
      <c r="S32" s="2762" t="s">
        <v>44</v>
      </c>
      <c r="T32" s="2762"/>
      <c r="U32" s="1884"/>
      <c r="V32" s="2763" t="str">
        <f>IF(TITLE_IST_PUB_CHANGE="",IF(TITLE_IST_PUB="","",TITLE_IST_PUB),TITLE_IST_PUB_CHANGE)</f>
        <v>http://pravo.gov.ru</v>
      </c>
      <c r="W32" s="2763"/>
      <c r="X32" s="2763"/>
      <c r="Y32" s="2763"/>
      <c r="Z32" s="2763"/>
      <c r="AA32" s="2763"/>
      <c r="AB32" s="2763"/>
      <c r="AC32" s="2147"/>
      <c r="AD32" s="2763" t="str">
        <f>IF(TITLE_IST_PUB_CHANGE="",IF(TITLE_IST_PUB="","",TITLE_IST_PUB),TITLE_IST_PUB_CHANGE)</f>
        <v>http://pravo.gov.ru</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51018" customFormat="1" customHeight="1" ht="18.75" hidden="1">
      <c r="A34" s="1760"/>
      <c r="B34" s="1760"/>
      <c r="C34" s="1760"/>
      <c r="D34" s="1760"/>
      <c r="E34" s="1760"/>
      <c r="F34" s="1760"/>
      <c r="G34" s="1760"/>
      <c r="H34" s="1760"/>
      <c r="I34" s="1760"/>
      <c r="J34" s="1760"/>
      <c r="K34" s="1760"/>
      <c r="L34" s="1892"/>
      <c r="M34" s="1760"/>
      <c r="N34" s="1760"/>
      <c r="O34" s="1760"/>
      <c r="S34" s="2762" t="s">
        <v>562</v>
      </c>
      <c r="T34" s="2762"/>
      <c r="U34" s="1884"/>
      <c r="V34" s="2776" t="str">
        <f>IF(TITLE_DATE_PR_CHANGE="",IF(TITLE_DATE_PR="","",TITLE_DATE_PR),TITLE_DATE_PR_CHANGE)</f>
        <v>45631.710694444446</v>
      </c>
      <c r="W34" s="2776"/>
      <c r="X34" s="2776"/>
      <c r="Y34" s="2776"/>
      <c r="Z34" s="2776"/>
      <c r="AA34" s="2776"/>
      <c r="AB34" s="2776"/>
      <c r="AC34" s="2147"/>
      <c r="AD34" s="2776" t="str">
        <f>IF(TITLE_DATE_PR_CHANGE="",IF(TITLE_DATE_PR="","",TITLE_DATE_PR),TITLE_DATE_PR_CHANGE)</f>
        <v>45631.710694444446</v>
      </c>
      <c r="AE34" s="2776"/>
      <c r="AF34" s="2776"/>
      <c r="AG34" s="2776"/>
      <c r="AH34" s="2776"/>
      <c r="AI34" s="2776"/>
      <c r="AJ34" s="2776"/>
      <c r="AK34" s="2147"/>
      <c r="AL34" s="2147"/>
      <c r="AM34" s="792"/>
      <c r="AN34" s="880"/>
      <c r="AO34" s="880"/>
      <c r="AP34" s="880"/>
      <c r="AQ34" s="880"/>
      <c r="AR34" s="880"/>
      <c r="AS34" s="930">
        <v>0</v>
      </c>
    </row>
    <row s="51018" customFormat="1" customHeight="1" ht="18.75" hidden="1">
      <c r="A35" s="1760"/>
      <c r="B35" s="1760"/>
      <c r="C35" s="1760"/>
      <c r="D35" s="1760"/>
      <c r="E35" s="1760"/>
      <c r="F35" s="1760"/>
      <c r="G35" s="1760"/>
      <c r="H35" s="1760"/>
      <c r="I35" s="1760"/>
      <c r="J35" s="1760"/>
      <c r="K35" s="1760"/>
      <c r="L35" s="1892"/>
      <c r="M35" s="1760"/>
      <c r="N35" s="1760"/>
      <c r="O35" s="1760"/>
      <c r="S35" s="2762" t="s">
        <v>563</v>
      </c>
      <c r="T35" s="2762"/>
      <c r="U35" s="1884"/>
      <c r="V35" s="2763" t="str">
        <f>IF(TITLE_NUMBER_PR_CHANGE="",IF(TITLE_NUMBER_PR="","",TITLE_NUMBER_PR),TITLE_NUMBER_PR_CHANGE)</f>
        <v>53/9</v>
      </c>
      <c r="W35" s="2763"/>
      <c r="X35" s="2763"/>
      <c r="Y35" s="2763"/>
      <c r="Z35" s="2763"/>
      <c r="AA35" s="2763"/>
      <c r="AB35" s="2763"/>
      <c r="AC35" s="2147"/>
      <c r="AD35" s="2763" t="str">
        <f>IF(TITLE_NUMBER_PR_CHANGE="",IF(TITLE_NUMBER_PR="","",TITLE_NUMBER_PR),TITLE_NUMBER_PR_CHANGE)</f>
        <v>53/9</v>
      </c>
      <c r="AE35" s="2763"/>
      <c r="AF35" s="2763"/>
      <c r="AG35" s="2763"/>
      <c r="AH35" s="2763"/>
      <c r="AI35" s="2763"/>
      <c r="AJ35" s="2763"/>
      <c r="AK35" s="2147"/>
      <c r="AL35" s="2147"/>
      <c r="AM35" s="792"/>
      <c r="AN35" s="880"/>
      <c r="AO35" s="880"/>
      <c r="AP35" s="880"/>
      <c r="AQ35" s="880"/>
      <c r="AR35" s="880"/>
      <c r="AS35" s="930">
        <v>0</v>
      </c>
    </row>
    <row s="51018"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564</v>
      </c>
      <c r="AD36" s="2147"/>
      <c r="AE36" s="2147"/>
      <c r="AF36" s="2147"/>
      <c r="AG36" s="2147"/>
      <c r="AH36" s="2147"/>
      <c r="AI36" s="2147"/>
      <c r="AJ36" s="2147"/>
      <c r="AK36" s="2154" t="s">
        <v>564</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2143">
        <v>14</v>
      </c>
    </row>
    <row customHeight="1" ht="14.699999999999998">
      <c r="Q39" s="888"/>
      <c r="R39" s="888"/>
      <c r="S39" s="2785" t="s">
        <v>90</v>
      </c>
      <c r="T39" s="2721" t="s">
        <v>565</v>
      </c>
      <c r="U39" s="849"/>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2143">
        <v>14</v>
      </c>
    </row>
    <row customHeight="1" ht="35.699999999999996">
      <c r="Q40" s="888"/>
      <c r="R40" s="888"/>
      <c r="S40" s="2785"/>
      <c r="T40" s="2721"/>
      <c r="U40" s="1543"/>
      <c r="V40" s="2772" t="s">
        <v>570</v>
      </c>
      <c r="W40" s="2795" t="s">
        <v>571</v>
      </c>
      <c r="X40" s="2774" t="s">
        <v>572</v>
      </c>
      <c r="Y40" s="2775"/>
      <c r="Z40" s="2774" t="s">
        <v>585</v>
      </c>
      <c r="AA40" s="2781"/>
      <c r="AB40" s="2775"/>
      <c r="AC40" s="2790"/>
      <c r="AD40" s="2772" t="s">
        <v>570</v>
      </c>
      <c r="AE40" s="2795" t="s">
        <v>571</v>
      </c>
      <c r="AF40" s="2774" t="s">
        <v>572</v>
      </c>
      <c r="AG40" s="2775"/>
      <c r="AH40" s="2774" t="s">
        <v>573</v>
      </c>
      <c r="AI40" s="2781"/>
      <c r="AJ40" s="2775"/>
      <c r="AK40" s="2790"/>
      <c r="AL40" s="2793"/>
      <c r="AM40" s="2639"/>
      <c r="AS40" s="2143">
        <v>34</v>
      </c>
    </row>
    <row customHeight="1" ht="35.699999999999996">
      <c r="A41" s="1778"/>
      <c r="B41" s="1778" t="s">
        <v>201</v>
      </c>
      <c r="C41" s="1778" t="s">
        <v>202</v>
      </c>
      <c r="D41" s="1778" t="s">
        <v>203</v>
      </c>
      <c r="E41" s="1822" t="s">
        <v>574</v>
      </c>
      <c r="F41" s="1822" t="s">
        <v>575</v>
      </c>
      <c r="G41" s="1822" t="s">
        <v>576</v>
      </c>
      <c r="H41" s="1822" t="s">
        <v>577</v>
      </c>
      <c r="I41" s="1822" t="s">
        <v>578</v>
      </c>
      <c r="J41" s="1822" t="s">
        <v>579</v>
      </c>
      <c r="K41" s="1822" t="s">
        <v>580</v>
      </c>
      <c r="L41" s="1822" t="s">
        <v>555</v>
      </c>
      <c r="Q41" s="888"/>
      <c r="R41" s="888"/>
      <c r="S41" s="2785"/>
      <c r="T41" s="2721"/>
      <c r="U41" s="814"/>
      <c r="V41" s="2773"/>
      <c r="W41" s="2796"/>
      <c r="X41" s="2450" t="s">
        <v>581</v>
      </c>
      <c r="Y41" s="2450" t="s">
        <v>582</v>
      </c>
      <c r="Z41" s="2450" t="s">
        <v>583</v>
      </c>
      <c r="AA41" s="2782" t="s">
        <v>584</v>
      </c>
      <c r="AB41" s="2783"/>
      <c r="AC41" s="2791"/>
      <c r="AD41" s="2773"/>
      <c r="AE41" s="2796"/>
      <c r="AF41" s="2450" t="s">
        <v>581</v>
      </c>
      <c r="AG41" s="2450" t="s">
        <v>582</v>
      </c>
      <c r="AH41" s="2450" t="s">
        <v>583</v>
      </c>
      <c r="AI41" s="2782" t="s">
        <v>584</v>
      </c>
      <c r="AJ41" s="2783"/>
      <c r="AK41" s="2791"/>
      <c r="AL41" s="2794"/>
      <c r="AM41" s="2639"/>
      <c r="AS41" s="2143">
        <v>34</v>
      </c>
    </row>
    <row s="51564"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101</v>
      </c>
      <c r="T42" s="1767" t="s">
        <v>105</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270</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2136"/>
      <c r="AP43" s="2136" t="str">
        <f>IF(T43="","",T43)</f>
        <v>Наименование тарифа</v>
      </c>
      <c r="AQ43" s="2136"/>
      <c r="AR43" s="2136"/>
      <c r="AS43" s="2143">
        <v>21</v>
      </c>
    </row>
    <row customHeight="1" ht="22.049999999999997">
      <c r="A44" s="1779" t="s">
        <v>270</v>
      </c>
      <c r="B44" s="1779" t="s">
        <v>271</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2136"/>
      <c r="AP44" s="2136" t="str">
        <f>IF(T44="","",T44)</f>
        <v>Территория действия тарифа</v>
      </c>
      <c r="AQ44" s="2136"/>
      <c r="AR44" s="2136"/>
      <c r="AS44" s="2143">
        <v>21</v>
      </c>
    </row>
    <row customHeight="1" ht="24">
      <c r="A45" s="1779" t="s">
        <v>270</v>
      </c>
      <c r="B45" s="1779" t="s">
        <v>271</v>
      </c>
      <c r="C45" s="1779" t="s">
        <v>272</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2136"/>
      <c r="AP45" s="2136" t="str">
        <f>IF(T45="","",T45)</f>
        <v>Наименование системы теплоснабжения </v>
      </c>
      <c r="AQ45" s="2136"/>
      <c r="AR45" s="2136"/>
      <c r="AS45" s="2143">
        <v>23</v>
      </c>
    </row>
    <row customHeight="1" ht="22.049999999999997">
      <c r="A46" s="1779" t="s">
        <v>270</v>
      </c>
      <c r="B46" s="1779" t="s">
        <v>271</v>
      </c>
      <c r="C46" s="1779" t="s">
        <v>272</v>
      </c>
      <c r="D46" s="1779" t="s">
        <v>273</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2136"/>
      <c r="AP46" s="2136" t="str">
        <f>IF(T46="","",T46)</f>
        <v>Источник тепловой энергии  </v>
      </c>
      <c r="AQ46" s="2136"/>
      <c r="AR46" s="2136"/>
      <c r="AS46" s="2143">
        <v>21</v>
      </c>
    </row>
    <row customHeight="1" ht="49.5">
      <c r="A47" s="1779" t="s">
        <v>270</v>
      </c>
      <c r="B47" s="1779" t="s">
        <v>271</v>
      </c>
      <c r="C47" s="1779" t="s">
        <v>272</v>
      </c>
      <c r="D47" s="1779" t="s">
        <v>273</v>
      </c>
      <c r="E47" s="2802"/>
      <c r="F47" s="2802"/>
      <c r="G47" s="2802"/>
      <c r="H47" s="2802"/>
      <c r="I47" s="2639" t="str">
        <f>S46&amp;".1"</f>
        <v>....1</v>
      </c>
      <c r="J47" s="1779"/>
      <c r="K47" s="1779"/>
      <c r="L47" s="1822" t="s">
        <v>542</v>
      </c>
      <c r="P47" s="2769">
        <v>1</v>
      </c>
      <c r="Q47" s="2466"/>
      <c r="R47" s="868"/>
      <c r="S47" s="2470" t="str">
        <f>$I47</f>
        <v>....1</v>
      </c>
      <c r="T47" s="797" t="s">
        <v>543</v>
      </c>
      <c r="U47" s="812"/>
      <c r="V47" s="2757"/>
      <c r="W47" s="2758"/>
      <c r="X47" s="2758"/>
      <c r="Y47" s="2758"/>
      <c r="Z47" s="2758"/>
      <c r="AA47" s="2758"/>
      <c r="AB47" s="2758"/>
      <c r="AC47" s="2759"/>
      <c r="AD47" s="2757"/>
      <c r="AE47" s="2758"/>
      <c r="AF47" s="2758"/>
      <c r="AG47" s="2758"/>
      <c r="AH47" s="2758"/>
      <c r="AI47" s="2758"/>
      <c r="AJ47" s="2758"/>
      <c r="AK47" s="2758"/>
      <c r="AL47" s="2759"/>
      <c r="AM47" s="1770" t="s">
        <v>544</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270</v>
      </c>
      <c r="B48" s="1779" t="s">
        <v>271</v>
      </c>
      <c r="C48" s="1779" t="s">
        <v>272</v>
      </c>
      <c r="D48" s="1779" t="s">
        <v>273</v>
      </c>
      <c r="E48" s="2802"/>
      <c r="F48" s="2802"/>
      <c r="G48" s="2802"/>
      <c r="H48" s="2802"/>
      <c r="I48" s="2613"/>
      <c r="J48" s="2639" t="str">
        <f>I47&amp;".1"</f>
        <v>....1.1</v>
      </c>
      <c r="K48" s="1779"/>
      <c r="L48" s="1822" t="s">
        <v>545</v>
      </c>
      <c r="P48" s="2769"/>
      <c r="Q48" s="2769">
        <v>1</v>
      </c>
      <c r="R48" s="869"/>
      <c r="S48" s="2470" t="str">
        <f>$J48</f>
        <v>....1.1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2136"/>
      <c r="AP48" s="2136" t="str">
        <f>IF(T48="","",T48)</f>
        <v>Группа потребителей</v>
      </c>
      <c r="AQ48" s="2136"/>
      <c r="AR48" s="2136"/>
      <c r="AS48" s="2143">
        <v>21</v>
      </c>
    </row>
    <row customHeight="1" ht="22.049999999999997">
      <c r="A49" s="1779" t="s">
        <v>270</v>
      </c>
      <c r="B49" s="1779" t="s">
        <v>271</v>
      </c>
      <c r="C49" s="1779" t="s">
        <v>272</v>
      </c>
      <c r="D49" s="1779" t="s">
        <v>273</v>
      </c>
      <c r="E49" s="2802"/>
      <c r="F49" s="2802"/>
      <c r="G49" s="2802"/>
      <c r="H49" s="2802"/>
      <c r="I49" s="2613"/>
      <c r="J49" s="2613"/>
      <c r="K49" s="2639" t="str">
        <f>J48&amp;".1"</f>
        <v>....1.1.1</v>
      </c>
      <c r="L49" s="1822" t="s">
        <v>548</v>
      </c>
      <c r="P49" s="2769"/>
      <c r="Q49" s="2769"/>
      <c r="R49" s="869">
        <v>1</v>
      </c>
      <c r="S49" s="2470"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549</v>
      </c>
      <c r="AN49" s="2148">
        <f>STRCHECKDATE(V50:AL50)</f>
      </c>
      <c r="AO49" s="2136"/>
      <c r="AP49" s="2136" t="str">
        <f>IF(T49="","",T49)</f>
        <v/>
      </c>
      <c r="AQ49" s="2136"/>
      <c r="AR49" s="2136"/>
      <c r="AS49" s="2143">
        <v>21</v>
      </c>
    </row>
    <row customHeight="1" ht="1.05">
      <c r="A50" s="1779" t="s">
        <v>270</v>
      </c>
      <c r="B50" s="1779" t="s">
        <v>271</v>
      </c>
      <c r="C50" s="1779" t="s">
        <v>272</v>
      </c>
      <c r="D50" s="1779" t="s">
        <v>273</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270</v>
      </c>
      <c r="B51" s="1779" t="s">
        <v>271</v>
      </c>
      <c r="C51" s="1779" t="s">
        <v>272</v>
      </c>
      <c r="D51" s="1779" t="s">
        <v>273</v>
      </c>
      <c r="E51" s="2802"/>
      <c r="F51" s="2802"/>
      <c r="G51" s="2802"/>
      <c r="H51" s="2802"/>
      <c r="I51" s="2613"/>
      <c r="J51" s="2639"/>
      <c r="K51" s="1779"/>
      <c r="L51" s="1822"/>
      <c r="P51" s="2769"/>
      <c r="Q51" s="2769"/>
      <c r="R51" s="868"/>
      <c r="S51" s="1790"/>
      <c r="T51" s="800" t="s">
        <v>550</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270</v>
      </c>
      <c r="B52" s="1779" t="s">
        <v>271</v>
      </c>
      <c r="C52" s="1779" t="s">
        <v>272</v>
      </c>
      <c r="D52" s="1779" t="s">
        <v>273</v>
      </c>
      <c r="E52" s="2802"/>
      <c r="F52" s="2802"/>
      <c r="G52" s="2802"/>
      <c r="H52" s="2802"/>
      <c r="I52" s="2639"/>
      <c r="J52" s="1779"/>
      <c r="K52" s="1779"/>
      <c r="L52" s="1822"/>
      <c r="P52" s="2769"/>
      <c r="Q52" s="2466"/>
      <c r="R52" s="868"/>
      <c r="S52" s="1790"/>
      <c r="T52" s="799" t="s">
        <v>551</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270</v>
      </c>
      <c r="B53" s="1779" t="s">
        <v>271</v>
      </c>
      <c r="C53" s="1779" t="s">
        <v>272</v>
      </c>
      <c r="D53" s="1779" t="s">
        <v>273</v>
      </c>
      <c r="E53" s="2802"/>
      <c r="F53" s="2802"/>
      <c r="G53" s="2802"/>
      <c r="H53" s="2801"/>
      <c r="I53" s="1779"/>
      <c r="J53" s="1779"/>
      <c r="K53" s="1779"/>
      <c r="L53" s="1822"/>
      <c r="M53" s="2122"/>
      <c r="N53" s="2122"/>
      <c r="O53" s="2147"/>
      <c r="P53" s="872"/>
      <c r="Q53" s="887"/>
      <c r="R53" s="867"/>
      <c r="S53" s="1790"/>
      <c r="T53" s="877" t="s">
        <v>552</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50882" customFormat="1" customHeight="1" ht="1.05">
      <c r="A54" s="1779" t="s">
        <v>270</v>
      </c>
      <c r="B54" s="1779" t="s">
        <v>271</v>
      </c>
      <c r="C54" s="1779" t="s">
        <v>272</v>
      </c>
      <c r="D54" s="2486"/>
      <c r="E54" s="2802"/>
      <c r="F54" s="2802"/>
      <c r="G54" s="2801"/>
      <c r="H54" s="2486"/>
      <c r="I54" s="2486"/>
      <c r="J54" s="2486"/>
      <c r="K54" s="2486"/>
      <c r="L54" s="1892"/>
      <c r="M54" s="2122"/>
      <c r="N54" s="2122"/>
      <c r="O54" s="214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1</v>
      </c>
    </row>
    <row s="50882" customFormat="1" customHeight="1" ht="1.05">
      <c r="A55" s="1779" t="s">
        <v>270</v>
      </c>
      <c r="B55" s="1779" t="s">
        <v>271</v>
      </c>
      <c r="C55" s="2486"/>
      <c r="D55" s="2486"/>
      <c r="E55" s="2802"/>
      <c r="F55" s="2801"/>
      <c r="G55" s="2486"/>
      <c r="H55" s="2486"/>
      <c r="I55" s="2486"/>
      <c r="J55" s="2486"/>
      <c r="K55" s="2486"/>
      <c r="L55" s="1892"/>
      <c r="M55" s="2487"/>
      <c r="N55" s="2487"/>
      <c r="O55" s="2147"/>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1</v>
      </c>
    </row>
    <row s="50882" customFormat="1" customHeight="1" ht="1.05">
      <c r="A56" s="1779" t="s">
        <v>270</v>
      </c>
      <c r="B56" s="1779"/>
      <c r="C56" s="1779"/>
      <c r="D56" s="1779"/>
      <c r="E56" s="2801"/>
      <c r="F56" s="1779"/>
      <c r="G56" s="1779"/>
      <c r="H56" s="1779"/>
      <c r="I56" s="1779"/>
      <c r="J56" s="1779"/>
      <c r="K56" s="1779"/>
      <c r="L56" s="1822"/>
      <c r="M56" s="2487"/>
      <c r="N56" s="2487"/>
      <c r="O56" s="2147"/>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1</v>
      </c>
    </row>
    <row s="50882" customFormat="1" customHeight="1" ht="1.05">
      <c r="A57" s="2486"/>
      <c r="B57" s="2486"/>
      <c r="C57" s="2486"/>
      <c r="D57" s="2486"/>
      <c r="E57" s="1779"/>
      <c r="F57" s="2486"/>
      <c r="G57" s="2486"/>
      <c r="H57" s="2486"/>
      <c r="I57" s="2486"/>
      <c r="J57" s="2486"/>
      <c r="K57" s="2486"/>
      <c r="L57" s="1892"/>
      <c r="M57" s="2487"/>
      <c r="N57" s="2487"/>
      <c r="O57" s="2147"/>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1</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84</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399176-564A-CEA6-5488-A2DDA9512CE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1.00390625" customWidth="1"/>
    <col min="21" max="21" style="50801" width="0.7109375" hidden="1" customWidth="1"/>
    <col min="22" max="22" style="50801" width="1.7109375" hidden="1" customWidth="1"/>
    <col min="23" max="23" style="50801" width="24.7109375" hidden="1" customWidth="1"/>
    <col min="24" max="25" style="50801" width="0.14062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0.140625" customWidth="1"/>
    <col min="31" max="31" style="50801" width="24.00390625" customWidth="1"/>
    <col min="32" max="33" style="50801" width="0.14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542</v>
      </c>
      <c r="M6" s="1049"/>
      <c r="P6" s="2769">
        <v>1</v>
      </c>
      <c r="Q6" s="1843"/>
      <c r="R6" s="868"/>
      <c r="S6" s="1848">
        <f>$I6</f>
      </c>
      <c r="T6" s="797" t="s">
        <v>543</v>
      </c>
      <c r="U6" s="812"/>
      <c r="V6" s="2757"/>
      <c r="W6" s="2758"/>
      <c r="X6" s="2758"/>
      <c r="Y6" s="2758"/>
      <c r="Z6" s="2758"/>
      <c r="AA6" s="2758"/>
      <c r="AB6" s="2758"/>
      <c r="AC6" s="2759"/>
      <c r="AD6" s="2757"/>
      <c r="AE6" s="2758"/>
      <c r="AF6" s="2758"/>
      <c r="AG6" s="2758"/>
      <c r="AH6" s="2758"/>
      <c r="AI6" s="2758"/>
      <c r="AJ6" s="2758"/>
      <c r="AK6" s="2758"/>
      <c r="AL6" s="2759"/>
      <c r="AM6" s="1770" t="s">
        <v>544</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545</v>
      </c>
      <c r="M7" s="1049"/>
      <c r="N7" s="1878"/>
      <c r="P7" s="2769"/>
      <c r="Q7" s="2769">
        <v>1</v>
      </c>
      <c r="R7" s="869"/>
      <c r="S7" s="1848">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548</v>
      </c>
      <c r="M8" s="1049"/>
      <c r="N8" s="1878"/>
      <c r="O8" s="1878"/>
      <c r="P8" s="2769"/>
      <c r="Q8" s="2769"/>
      <c r="R8" s="869">
        <v>1</v>
      </c>
      <c r="S8" s="1848">
        <f>$K8</f>
      </c>
      <c r="T8" s="1859"/>
      <c r="U8" s="812"/>
      <c r="V8" s="837"/>
      <c r="W8" s="1263"/>
      <c r="X8" s="837"/>
      <c r="Y8" s="896"/>
      <c r="Z8" s="2777"/>
      <c r="AA8" s="2619" t="s">
        <v>63</v>
      </c>
      <c r="AB8" s="2777"/>
      <c r="AC8" s="2619" t="s">
        <v>63</v>
      </c>
      <c r="AD8" s="837"/>
      <c r="AE8" s="1263"/>
      <c r="AF8" s="837"/>
      <c r="AG8" s="896"/>
      <c r="AH8" s="2777"/>
      <c r="AI8" s="2619" t="s">
        <v>63</v>
      </c>
      <c r="AJ8" s="2777"/>
      <c r="AK8" s="2619" t="s">
        <v>63</v>
      </c>
      <c r="AL8" s="837"/>
      <c r="AM8" s="2765" t="s">
        <v>549</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552</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50882"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33.7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29.25">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28</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18.7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803"/>
      <c r="Y39" s="2803"/>
      <c r="Z39" s="2787"/>
      <c r="AA39" s="2787"/>
      <c r="AB39" s="2788"/>
      <c r="AC39" s="2789" t="s">
        <v>567</v>
      </c>
      <c r="AD39" s="2786" t="s">
        <v>566</v>
      </c>
      <c r="AE39" s="2787"/>
      <c r="AF39" s="2803"/>
      <c r="AG39" s="2803"/>
      <c r="AH39" s="2787"/>
      <c r="AI39" s="2787"/>
      <c r="AJ39" s="2788"/>
      <c r="AK39" s="2789" t="s">
        <v>568</v>
      </c>
      <c r="AL39" s="2792" t="s">
        <v>569</v>
      </c>
      <c r="AM39" s="2639"/>
      <c r="AS39" s="1667">
        <v>14</v>
      </c>
    </row>
    <row customHeight="1" ht="24">
      <c r="Q40" s="888"/>
      <c r="R40" s="888"/>
      <c r="S40" s="2785"/>
      <c r="T40" s="2721"/>
      <c r="U40" s="1543"/>
      <c r="V40" s="2804" t="s">
        <v>570</v>
      </c>
      <c r="W40" s="2806" t="s">
        <v>571</v>
      </c>
      <c r="X40" s="1888" t="s">
        <v>572</v>
      </c>
      <c r="Y40" s="1888"/>
      <c r="Z40" s="2781" t="s">
        <v>573</v>
      </c>
      <c r="AA40" s="2781"/>
      <c r="AB40" s="2775"/>
      <c r="AC40" s="2790"/>
      <c r="AD40" s="2804" t="s">
        <v>570</v>
      </c>
      <c r="AE40" s="2806" t="s">
        <v>571</v>
      </c>
      <c r="AF40" s="1888" t="s">
        <v>572</v>
      </c>
      <c r="AG40" s="1888"/>
      <c r="AH40" s="2781" t="s">
        <v>573</v>
      </c>
      <c r="AI40" s="2781"/>
      <c r="AJ40" s="2775"/>
      <c r="AK40" s="2790"/>
      <c r="AL40" s="2793"/>
      <c r="AM40" s="2639"/>
      <c r="AS40" s="1667">
        <v>23</v>
      </c>
    </row>
    <row s="51070" customFormat="1" customHeight="1" ht="24">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M41" s="1874"/>
      <c r="N41" s="1874"/>
      <c r="O41" s="1874"/>
      <c r="P41" s="1840"/>
      <c r="Q41" s="888"/>
      <c r="R41" s="888"/>
      <c r="S41" s="2785"/>
      <c r="T41" s="2721"/>
      <c r="U41" s="814"/>
      <c r="V41" s="2805"/>
      <c r="W41" s="2807"/>
      <c r="X41" s="1885" t="s">
        <v>581</v>
      </c>
      <c r="Y41" s="1885" t="s">
        <v>582</v>
      </c>
      <c r="Z41" s="1846" t="s">
        <v>583</v>
      </c>
      <c r="AA41" s="2782" t="s">
        <v>584</v>
      </c>
      <c r="AB41" s="2783"/>
      <c r="AC41" s="2791"/>
      <c r="AD41" s="2805"/>
      <c r="AE41" s="2807"/>
      <c r="AF41" s="1885" t="s">
        <v>581</v>
      </c>
      <c r="AG41" s="1885" t="s">
        <v>582</v>
      </c>
      <c r="AH41" s="1846" t="s">
        <v>583</v>
      </c>
      <c r="AI41" s="2782" t="s">
        <v>584</v>
      </c>
      <c r="AJ41" s="2783"/>
      <c r="AK41" s="2791"/>
      <c r="AL41" s="2794"/>
      <c r="AM41" s="2639"/>
      <c r="AN41" s="1023"/>
      <c r="AO41" s="1012"/>
      <c r="AP41" s="1012"/>
      <c r="AQ41" s="1012"/>
      <c r="AR41" s="1012"/>
      <c r="AS41" s="1094">
        <v>23</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53">
        <f>OFFSET(X42,0,-1)+1</f>
        <v>1</v>
      </c>
      <c r="Y42" s="1853">
        <f>OFFSET(Y42,0,-1)+1</f>
        <v>2</v>
      </c>
      <c r="Z42" s="1847">
        <f>OFFSET(Z42,0,-1)+1</f>
        <v>3</v>
      </c>
      <c r="AA42" s="2784">
        <f>OFFSET(AA42,0,-1)+1</f>
        <v>4</v>
      </c>
      <c r="AB42" s="2784"/>
      <c r="AC42" s="1847">
        <f>OFFSET(AC42,0,-2)+1</f>
        <v>5</v>
      </c>
      <c r="AD42" s="1847">
        <f>OFFSET(AD42,0,-1)+1</f>
        <v>6</v>
      </c>
      <c r="AE42" s="1847"/>
      <c r="AF42" s="1853">
        <f>OFFSET(AF42,0,-1)+1</f>
        <v>1</v>
      </c>
      <c r="AG42" s="1853">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252</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252</v>
      </c>
      <c r="B44" s="1875" t="s">
        <v>253</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21</v>
      </c>
    </row>
    <row customHeight="1" ht="24">
      <c r="A45" s="1875" t="s">
        <v>252</v>
      </c>
      <c r="B45" s="1875" t="s">
        <v>253</v>
      </c>
      <c r="C45" s="1875" t="s">
        <v>254</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2.049999999999997">
      <c r="A46" s="1875" t="s">
        <v>252</v>
      </c>
      <c r="B46" s="1875" t="s">
        <v>253</v>
      </c>
      <c r="C46" s="1875" t="s">
        <v>254</v>
      </c>
      <c r="D46" s="1875" t="s">
        <v>255</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21</v>
      </c>
    </row>
    <row customHeight="1" ht="49.5">
      <c r="A47" s="1875" t="s">
        <v>252</v>
      </c>
      <c r="B47" s="1875" t="s">
        <v>253</v>
      </c>
      <c r="C47" s="1875" t="s">
        <v>254</v>
      </c>
      <c r="D47" s="1875" t="s">
        <v>255</v>
      </c>
      <c r="E47" s="2771"/>
      <c r="F47" s="2771"/>
      <c r="G47" s="2771"/>
      <c r="H47" s="2771"/>
      <c r="I47" s="2768" t="str">
        <f>S46&amp;".1"</f>
        <v>....1</v>
      </c>
      <c r="J47" s="1875"/>
      <c r="K47" s="1875"/>
      <c r="L47" s="1876" t="s">
        <v>542</v>
      </c>
      <c r="P47" s="2769">
        <v>1</v>
      </c>
      <c r="Q47" s="1843"/>
      <c r="R47" s="868"/>
      <c r="S47" s="1848" t="str">
        <f>$I47</f>
        <v>....1</v>
      </c>
      <c r="T47" s="797" t="s">
        <v>543</v>
      </c>
      <c r="U47" s="812"/>
      <c r="V47" s="2757"/>
      <c r="W47" s="2758"/>
      <c r="X47" s="2758"/>
      <c r="Y47" s="2758"/>
      <c r="Z47" s="2758"/>
      <c r="AA47" s="2758"/>
      <c r="AB47" s="2758"/>
      <c r="AC47" s="2759"/>
      <c r="AD47" s="2757"/>
      <c r="AE47" s="2758"/>
      <c r="AF47" s="2758"/>
      <c r="AG47" s="2758"/>
      <c r="AH47" s="2758"/>
      <c r="AI47" s="2758"/>
      <c r="AJ47" s="2758"/>
      <c r="AK47" s="2758"/>
      <c r="AL47" s="2759"/>
      <c r="AM47" s="1770" t="s">
        <v>544</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252</v>
      </c>
      <c r="B48" s="1875" t="s">
        <v>253</v>
      </c>
      <c r="C48" s="1875" t="s">
        <v>254</v>
      </c>
      <c r="D48" s="1875" t="s">
        <v>255</v>
      </c>
      <c r="E48" s="2771"/>
      <c r="F48" s="2771"/>
      <c r="G48" s="2771"/>
      <c r="H48" s="2771"/>
      <c r="I48" s="2798"/>
      <c r="J48" s="2768" t="str">
        <f>I47&amp;".1"</f>
        <v>....1.1</v>
      </c>
      <c r="K48" s="1875"/>
      <c r="L48" s="1876" t="s">
        <v>545</v>
      </c>
      <c r="P48" s="2769"/>
      <c r="Q48" s="2769">
        <v>1</v>
      </c>
      <c r="R48" s="869"/>
      <c r="S48" s="1848" t="str">
        <f>$J48</f>
        <v>....1.1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21</v>
      </c>
    </row>
    <row customHeight="1" ht="22.049999999999997">
      <c r="A49" s="1875" t="s">
        <v>252</v>
      </c>
      <c r="B49" s="1875" t="s">
        <v>253</v>
      </c>
      <c r="C49" s="1875" t="s">
        <v>254</v>
      </c>
      <c r="D49" s="1875" t="s">
        <v>255</v>
      </c>
      <c r="E49" s="2771"/>
      <c r="F49" s="2771"/>
      <c r="G49" s="2771"/>
      <c r="H49" s="2771"/>
      <c r="I49" s="2798"/>
      <c r="J49" s="2798"/>
      <c r="K49" s="2768" t="str">
        <f>J48&amp;".1"</f>
        <v>....1.1.1</v>
      </c>
      <c r="L49" s="1876" t="s">
        <v>548</v>
      </c>
      <c r="P49" s="2769"/>
      <c r="Q49" s="2769"/>
      <c r="R49" s="869">
        <v>1</v>
      </c>
      <c r="S49" s="1848" t="str">
        <f>$K49</f>
        <v>....1.1.1</v>
      </c>
      <c r="T49" s="1859"/>
      <c r="U49" s="812"/>
      <c r="V49" s="837"/>
      <c r="W49" s="1263"/>
      <c r="X49" s="837"/>
      <c r="Y49" s="896"/>
      <c r="Z49" s="2777"/>
      <c r="AA49" s="2619" t="s">
        <v>63</v>
      </c>
      <c r="AB49" s="2777"/>
      <c r="AC49" s="2619" t="s">
        <v>63</v>
      </c>
      <c r="AD49" s="837"/>
      <c r="AE49" s="1263"/>
      <c r="AF49" s="837"/>
      <c r="AG49" s="896"/>
      <c r="AH49" s="2777"/>
      <c r="AI49" s="2619" t="s">
        <v>63</v>
      </c>
      <c r="AJ49" s="2799"/>
      <c r="AK49" s="2619" t="s">
        <v>63</v>
      </c>
      <c r="AL49" s="1860"/>
      <c r="AM49" s="2765" t="s">
        <v>549</v>
      </c>
      <c r="AN49" s="1023">
        <f>STRCHECKDATE(V50:AL50)</f>
      </c>
      <c r="AO49" s="1012"/>
      <c r="AP49" s="1012" t="str">
        <f>IF(T49="","",T49)</f>
        <v/>
      </c>
      <c r="AQ49" s="1012"/>
      <c r="AR49" s="1012"/>
      <c r="AS49" s="1667">
        <v>21</v>
      </c>
    </row>
    <row customHeight="1" ht="1.05">
      <c r="A50" s="1875" t="s">
        <v>252</v>
      </c>
      <c r="B50" s="1875" t="s">
        <v>253</v>
      </c>
      <c r="C50" s="1875" t="s">
        <v>254</v>
      </c>
      <c r="D50" s="1875" t="s">
        <v>255</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252</v>
      </c>
      <c r="B51" s="1875" t="s">
        <v>253</v>
      </c>
      <c r="C51" s="1875" t="s">
        <v>254</v>
      </c>
      <c r="D51" s="1875" t="s">
        <v>255</v>
      </c>
      <c r="E51" s="2771"/>
      <c r="F51" s="2771"/>
      <c r="G51" s="2771"/>
      <c r="H51" s="2771"/>
      <c r="I51" s="2798"/>
      <c r="J51" s="2768"/>
      <c r="K51" s="1875"/>
      <c r="L51" s="1876"/>
      <c r="P51" s="2769"/>
      <c r="Q51" s="2769"/>
      <c r="R51" s="868"/>
      <c r="S51" s="1790"/>
      <c r="T51" s="800"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252</v>
      </c>
      <c r="B52" s="1875" t="s">
        <v>253</v>
      </c>
      <c r="C52" s="1875" t="s">
        <v>254</v>
      </c>
      <c r="D52" s="1875" t="s">
        <v>255</v>
      </c>
      <c r="E52" s="2771"/>
      <c r="F52" s="2771"/>
      <c r="G52" s="2771"/>
      <c r="H52" s="2771"/>
      <c r="I52" s="2768"/>
      <c r="J52" s="1875"/>
      <c r="K52" s="1875"/>
      <c r="L52" s="1876"/>
      <c r="P52" s="2769"/>
      <c r="Q52" s="1843"/>
      <c r="R52" s="868"/>
      <c r="S52" s="1790"/>
      <c r="T52" s="799"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252</v>
      </c>
      <c r="B53" s="1875" t="s">
        <v>253</v>
      </c>
      <c r="C53" s="1875" t="s">
        <v>254</v>
      </c>
      <c r="D53" s="1875" t="s">
        <v>255</v>
      </c>
      <c r="E53" s="2771"/>
      <c r="F53" s="2771"/>
      <c r="G53" s="2771"/>
      <c r="H53" s="2770"/>
      <c r="I53" s="1875"/>
      <c r="J53" s="1875"/>
      <c r="K53" s="1875"/>
      <c r="L53" s="1876"/>
      <c r="M53" s="1877"/>
      <c r="N53" s="1877"/>
      <c r="O53" s="1049"/>
      <c r="P53" s="872"/>
      <c r="Q53" s="887"/>
      <c r="R53" s="867"/>
      <c r="S53" s="1790"/>
      <c r="T53" s="877" t="s">
        <v>552</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50882" customFormat="1" customHeight="1" ht="1.05">
      <c r="A54" s="1855" t="s">
        <v>252</v>
      </c>
      <c r="B54" s="1855" t="s">
        <v>253</v>
      </c>
      <c r="C54" s="1855" t="s">
        <v>254</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50882" customFormat="1" customHeight="1" ht="1.05">
      <c r="A55" s="1855" t="s">
        <v>252</v>
      </c>
      <c r="B55" s="1855" t="s">
        <v>253</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50882" customFormat="1" customHeight="1" ht="1.05">
      <c r="A56" s="1855" t="s">
        <v>252</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50882"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78.7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75</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39.7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38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0</v>
      </c>
      <c r="AE65" s="1667">
        <v>24</v>
      </c>
      <c r="AF65" s="1667">
        <v>0</v>
      </c>
      <c r="AG65" s="1667">
        <v>0</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541AAC-77B6-8D5D-9631-26496CAB2AE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7109375" hidden="1"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8.421875" hidden="1" customWidth="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542</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545</v>
      </c>
      <c r="M7" s="1049"/>
      <c r="N7" s="1878"/>
      <c r="P7" s="2769"/>
      <c r="Q7" s="2769">
        <v>1</v>
      </c>
      <c r="R7" s="869"/>
      <c r="S7" s="1848">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548</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877"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50882"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14.2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63">
      <c r="Q26" s="888"/>
      <c r="R26" s="888"/>
      <c r="S26" s="27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60</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18.7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1667">
        <v>14</v>
      </c>
    </row>
    <row customHeight="1" ht="35.699999999999996">
      <c r="Q40" s="888"/>
      <c r="R40" s="888"/>
      <c r="S40" s="2785"/>
      <c r="T40" s="2721"/>
      <c r="U40" s="1543"/>
      <c r="V40" s="2772" t="s">
        <v>570</v>
      </c>
      <c r="W40" s="2795"/>
      <c r="X40" s="2774" t="s">
        <v>572</v>
      </c>
      <c r="Y40" s="2775"/>
      <c r="Z40" s="2774" t="s">
        <v>573</v>
      </c>
      <c r="AA40" s="2781"/>
      <c r="AB40" s="2775"/>
      <c r="AC40" s="2790"/>
      <c r="AD40" s="2772" t="s">
        <v>586</v>
      </c>
      <c r="AE40" s="2795"/>
      <c r="AF40" s="2774" t="s">
        <v>572</v>
      </c>
      <c r="AG40" s="2775"/>
      <c r="AH40" s="2774" t="s">
        <v>573</v>
      </c>
      <c r="AI40" s="2781"/>
      <c r="AJ40" s="2775"/>
      <c r="AK40" s="2790"/>
      <c r="AL40" s="2793"/>
      <c r="AM40" s="2639"/>
      <c r="AS40" s="1667">
        <v>34</v>
      </c>
    </row>
    <row customHeight="1" ht="35.699999999999996">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Q41" s="888"/>
      <c r="R41" s="888"/>
      <c r="S41" s="2785"/>
      <c r="T41" s="2721"/>
      <c r="U41" s="814"/>
      <c r="V41" s="2773"/>
      <c r="W41" s="2796"/>
      <c r="X41" s="1734" t="s">
        <v>581</v>
      </c>
      <c r="Y41" s="1734" t="s">
        <v>582</v>
      </c>
      <c r="Z41" s="1850" t="s">
        <v>583</v>
      </c>
      <c r="AA41" s="2782" t="s">
        <v>584</v>
      </c>
      <c r="AB41" s="2783"/>
      <c r="AC41" s="2791"/>
      <c r="AD41" s="2773"/>
      <c r="AE41" s="2796"/>
      <c r="AF41" s="1734" t="s">
        <v>581</v>
      </c>
      <c r="AG41" s="1734" t="s">
        <v>582</v>
      </c>
      <c r="AH41" s="1850" t="s">
        <v>583</v>
      </c>
      <c r="AI41" s="2782" t="s">
        <v>584</v>
      </c>
      <c r="AJ41" s="2783"/>
      <c r="AK41" s="2791"/>
      <c r="AL41" s="2794"/>
      <c r="AM41" s="2639"/>
      <c r="AS41" s="1667">
        <v>34</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228</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228</v>
      </c>
      <c r="B44" s="1875" t="s">
        <v>229</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21</v>
      </c>
    </row>
    <row customHeight="1" ht="24">
      <c r="A45" s="1875" t="s">
        <v>228</v>
      </c>
      <c r="B45" s="1875" t="s">
        <v>229</v>
      </c>
      <c r="C45" s="1875" t="s">
        <v>230</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2.049999999999997">
      <c r="A46" s="1875" t="s">
        <v>228</v>
      </c>
      <c r="B46" s="1875" t="s">
        <v>229</v>
      </c>
      <c r="C46" s="1875" t="s">
        <v>230</v>
      </c>
      <c r="D46" s="1875" t="s">
        <v>231</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21</v>
      </c>
    </row>
    <row s="50882" customFormat="1" customHeight="1" ht="0">
      <c r="A47" s="1855" t="s">
        <v>228</v>
      </c>
      <c r="B47" s="1855" t="s">
        <v>229</v>
      </c>
      <c r="C47" s="1855" t="s">
        <v>230</v>
      </c>
      <c r="D47" s="1855" t="s">
        <v>231</v>
      </c>
      <c r="E47" s="2771"/>
      <c r="F47" s="2771"/>
      <c r="G47" s="2771"/>
      <c r="H47" s="2771"/>
      <c r="I47" s="2768" t="str">
        <f>S46&amp;".1"</f>
        <v>....1</v>
      </c>
      <c r="J47" s="1855"/>
      <c r="K47" s="1855"/>
      <c r="L47" s="1858" t="s">
        <v>542</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228</v>
      </c>
      <c r="B48" s="1875" t="s">
        <v>229</v>
      </c>
      <c r="C48" s="1875" t="s">
        <v>230</v>
      </c>
      <c r="D48" s="1875" t="s">
        <v>231</v>
      </c>
      <c r="E48" s="2771"/>
      <c r="F48" s="2771"/>
      <c r="G48" s="2771"/>
      <c r="H48" s="2771"/>
      <c r="I48" s="2798"/>
      <c r="J48" s="2768" t="str">
        <f>S46&amp;".1"</f>
        <v>....1</v>
      </c>
      <c r="K48" s="1875"/>
      <c r="L48" s="1876" t="s">
        <v>545</v>
      </c>
      <c r="P48" s="2769"/>
      <c r="Q48" s="2769">
        <v>1</v>
      </c>
      <c r="R48" s="869"/>
      <c r="S48" s="1848" t="str">
        <f>$J48</f>
        <v>....1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21</v>
      </c>
    </row>
    <row customHeight="1" ht="22.049999999999997">
      <c r="A49" s="1875" t="s">
        <v>228</v>
      </c>
      <c r="B49" s="1875" t="s">
        <v>229</v>
      </c>
      <c r="C49" s="1875" t="s">
        <v>230</v>
      </c>
      <c r="D49" s="1875" t="s">
        <v>231</v>
      </c>
      <c r="E49" s="2771"/>
      <c r="F49" s="2771"/>
      <c r="G49" s="2771"/>
      <c r="H49" s="2771"/>
      <c r="I49" s="2798"/>
      <c r="J49" s="2798"/>
      <c r="K49" s="2768" t="str">
        <f>J48&amp;".1"</f>
        <v>....1.1</v>
      </c>
      <c r="L49" s="1876" t="s">
        <v>548</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587</v>
      </c>
      <c r="AN49" s="1023">
        <f>STRCHECKDATE(V50:AL50)</f>
      </c>
      <c r="AO49" s="1012"/>
      <c r="AP49" s="1012" t="str">
        <f>IF(T49="","",T49)</f>
        <v/>
      </c>
      <c r="AQ49" s="1012"/>
      <c r="AR49" s="1012"/>
      <c r="AS49" s="1667">
        <v>21</v>
      </c>
    </row>
    <row customHeight="1" ht="1.05">
      <c r="A50" s="1875" t="s">
        <v>228</v>
      </c>
      <c r="B50" s="1875" t="s">
        <v>229</v>
      </c>
      <c r="C50" s="1875" t="s">
        <v>230</v>
      </c>
      <c r="D50" s="1875" t="s">
        <v>231</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228</v>
      </c>
      <c r="B51" s="1875" t="s">
        <v>229</v>
      </c>
      <c r="C51" s="1875" t="s">
        <v>230</v>
      </c>
      <c r="D51" s="1875" t="s">
        <v>231</v>
      </c>
      <c r="E51" s="2771"/>
      <c r="F51" s="2771"/>
      <c r="G51" s="2771"/>
      <c r="H51" s="2771"/>
      <c r="I51" s="2798"/>
      <c r="J51" s="2768"/>
      <c r="K51" s="1875"/>
      <c r="L51" s="1876"/>
      <c r="P51" s="2769"/>
      <c r="Q51" s="2769"/>
      <c r="R51" s="868"/>
      <c r="S51" s="1790"/>
      <c r="T51" s="799"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228</v>
      </c>
      <c r="B52" s="1875" t="s">
        <v>229</v>
      </c>
      <c r="C52" s="1875" t="s">
        <v>230</v>
      </c>
      <c r="D52" s="1875" t="s">
        <v>231</v>
      </c>
      <c r="E52" s="2771"/>
      <c r="F52" s="2771"/>
      <c r="G52" s="2771"/>
      <c r="H52" s="2771"/>
      <c r="I52" s="2768"/>
      <c r="J52" s="1875"/>
      <c r="K52" s="1875"/>
      <c r="L52" s="1876"/>
      <c r="P52" s="2769"/>
      <c r="Q52" s="1843"/>
      <c r="R52" s="868"/>
      <c r="S52" s="1790"/>
      <c r="T52" s="877"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228</v>
      </c>
      <c r="B53" s="1875" t="s">
        <v>229</v>
      </c>
      <c r="C53" s="1875" t="s">
        <v>230</v>
      </c>
      <c r="D53" s="1875" t="s">
        <v>231</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50882" customFormat="1" customHeight="1" ht="1.05">
      <c r="A54" s="1855" t="s">
        <v>228</v>
      </c>
      <c r="B54" s="1855" t="s">
        <v>229</v>
      </c>
      <c r="C54" s="1855" t="s">
        <v>230</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50882" customFormat="1" customHeight="1" ht="1.05">
      <c r="A55" s="1855" t="s">
        <v>228</v>
      </c>
      <c r="B55" s="1855" t="s">
        <v>229</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50882" customFormat="1" customHeight="1" ht="1.05">
      <c r="A56" s="1855" t="s">
        <v>228</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50882"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19.9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19</v>
      </c>
    </row>
    <row customHeight="1" ht="29.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28</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1CCE92-787B-D9EA-23A6-E22DE369623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7109375" hidden="1"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A1" s="2383"/>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2520">
        <f>INDEX(PT_DIFFERENTIATION_NUM_CS,MATCH(C4,PT_DIFFERENTIATION_CS_ID,0))</f>
      </c>
      <c r="T4" s="2524" t="s">
        <v>538</v>
      </c>
      <c r="U4" s="2525"/>
      <c r="V4" s="2812"/>
      <c r="W4" s="2813"/>
      <c r="X4" s="2813"/>
      <c r="Y4" s="2813"/>
      <c r="Z4" s="2813"/>
      <c r="AA4" s="2813"/>
      <c r="AB4" s="2813"/>
      <c r="AC4" s="2814"/>
      <c r="AD4" s="2812">
        <f>INDEX(PT_DIFFERENTIATION_CS,MATCH(C4,PT_DIFFERENTIATION_CS_ID,0))</f>
      </c>
      <c r="AE4" s="2813"/>
      <c r="AF4" s="2813"/>
      <c r="AG4" s="2813"/>
      <c r="AH4" s="2813"/>
      <c r="AI4" s="2813"/>
      <c r="AJ4" s="2813"/>
      <c r="AK4" s="2813"/>
      <c r="AL4" s="2814"/>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2147"/>
      <c r="S5" s="2519">
        <f>INDEX(PT_DIFFERENTIATION_NUM_IST_TE,MATCH(D5,PT_DIFFERENTIATION_IST_TE_ID,0))</f>
      </c>
      <c r="T5" s="822" t="s">
        <v>540</v>
      </c>
      <c r="U5" s="812"/>
      <c r="V5" s="2815"/>
      <c r="W5" s="2815"/>
      <c r="X5" s="2815"/>
      <c r="Y5" s="2815"/>
      <c r="Z5" s="2815"/>
      <c r="AA5" s="2815"/>
      <c r="AB5" s="2815"/>
      <c r="AC5" s="2815"/>
      <c r="AD5" s="2815">
        <f>INDEX(PT_DIFFERENTIATION_IST_TE,MATCH(D5,PT_DIFFERENTIATION_IST_TE_ID,0))</f>
      </c>
      <c r="AE5" s="2815"/>
      <c r="AF5" s="2815"/>
      <c r="AG5" s="2815"/>
      <c r="AH5" s="2815"/>
      <c r="AI5" s="2815"/>
      <c r="AJ5" s="2815"/>
      <c r="AK5" s="2815"/>
      <c r="AL5" s="2815"/>
      <c r="AM5" s="2522" t="s">
        <v>541</v>
      </c>
      <c r="AO5" s="1012"/>
      <c r="AP5" s="1012" t="str">
        <f>IF(T5="","",T5)</f>
        <v>Источник тепловой энергии  </v>
      </c>
      <c r="AQ5" s="1012"/>
      <c r="AR5" s="1012"/>
      <c r="AS5" s="1667">
        <v>0</v>
      </c>
    </row>
    <row customHeight="1" ht="0.75" hidden="1">
      <c r="A6" s="1875"/>
      <c r="B6" s="1875"/>
      <c r="C6" s="1875"/>
      <c r="D6" s="1875"/>
      <c r="E6" s="2771"/>
      <c r="F6" s="2771"/>
      <c r="G6" s="2771"/>
      <c r="H6" s="2771"/>
      <c r="I6" s="2768">
        <f>S5&amp;".1"</f>
      </c>
      <c r="J6" s="1875"/>
      <c r="K6" s="1875"/>
      <c r="L6" s="1876" t="s">
        <v>542</v>
      </c>
      <c r="M6" s="1049"/>
      <c r="P6" s="2769">
        <v>1</v>
      </c>
      <c r="Q6" s="1843"/>
      <c r="R6" s="2518"/>
      <c r="S6" s="1554"/>
      <c r="T6" s="1895"/>
      <c r="U6" s="1896"/>
      <c r="V6" s="2816"/>
      <c r="W6" s="2816"/>
      <c r="X6" s="2816"/>
      <c r="Y6" s="2816"/>
      <c r="Z6" s="2816"/>
      <c r="AA6" s="2816"/>
      <c r="AB6" s="2816"/>
      <c r="AC6" s="2816"/>
      <c r="AD6" s="2816"/>
      <c r="AE6" s="2816"/>
      <c r="AF6" s="2816"/>
      <c r="AG6" s="2816"/>
      <c r="AH6" s="2816"/>
      <c r="AI6" s="2816"/>
      <c r="AJ6" s="2816"/>
      <c r="AK6" s="2816"/>
      <c r="AL6" s="2816"/>
      <c r="AM6" s="2523"/>
      <c r="AO6" s="1012"/>
      <c r="AP6" s="1012" t="str">
        <f>IF(T6="","",T6)</f>
        <v/>
      </c>
      <c r="AQ6" s="1012"/>
      <c r="AR6" s="1012"/>
      <c r="AS6" s="1667">
        <v>0</v>
      </c>
    </row>
    <row customHeight="1" ht="84" hidden="1">
      <c r="A7" s="1875"/>
      <c r="B7" s="1875"/>
      <c r="C7" s="1875"/>
      <c r="D7" s="1875"/>
      <c r="E7" s="2771"/>
      <c r="F7" s="2771"/>
      <c r="G7" s="2771"/>
      <c r="H7" s="2771"/>
      <c r="I7" s="2798"/>
      <c r="J7" s="2768">
        <f>I6&amp;".1"</f>
      </c>
      <c r="K7" s="1875"/>
      <c r="L7" s="1876" t="s">
        <v>545</v>
      </c>
      <c r="M7" s="1049"/>
      <c r="N7" s="1878"/>
      <c r="P7" s="2769"/>
      <c r="Q7" s="2769">
        <v>1</v>
      </c>
      <c r="R7" s="2154"/>
      <c r="S7" s="2519">
        <f>$J7</f>
      </c>
      <c r="T7" s="798" t="s">
        <v>546</v>
      </c>
      <c r="U7" s="812"/>
      <c r="V7" s="2817"/>
      <c r="W7" s="2817"/>
      <c r="X7" s="2817"/>
      <c r="Y7" s="2817"/>
      <c r="Z7" s="2817"/>
      <c r="AA7" s="2817"/>
      <c r="AB7" s="2817"/>
      <c r="AC7" s="2817"/>
      <c r="AD7" s="2817"/>
      <c r="AE7" s="2817"/>
      <c r="AF7" s="2817"/>
      <c r="AG7" s="2817"/>
      <c r="AH7" s="2817"/>
      <c r="AI7" s="2817"/>
      <c r="AJ7" s="2817"/>
      <c r="AK7" s="2817"/>
      <c r="AL7" s="2817"/>
      <c r="AM7" s="2522" t="s">
        <v>547</v>
      </c>
      <c r="AO7" s="1012"/>
      <c r="AP7" s="1012" t="str">
        <f>IF(T7="","",T7)</f>
        <v>Группа потребителей</v>
      </c>
      <c r="AQ7" s="1012"/>
      <c r="AR7" s="1012"/>
      <c r="AS7" s="1667">
        <v>0</v>
      </c>
    </row>
    <row customHeight="1" ht="11.25" hidden="1">
      <c r="A8" s="1875"/>
      <c r="B8" s="1875"/>
      <c r="C8" s="1875"/>
      <c r="D8" s="1875"/>
      <c r="E8" s="2771"/>
      <c r="F8" s="2771"/>
      <c r="G8" s="2771"/>
      <c r="H8" s="2771"/>
      <c r="I8" s="2798"/>
      <c r="J8" s="2798"/>
      <c r="K8" s="2768">
        <f>J7&amp;".1"</f>
      </c>
      <c r="L8" s="1876" t="s">
        <v>548</v>
      </c>
      <c r="M8" s="1049"/>
      <c r="N8" s="1878"/>
      <c r="O8" s="1878"/>
      <c r="P8" s="2769"/>
      <c r="Q8" s="2769"/>
      <c r="R8" s="869">
        <v>1</v>
      </c>
      <c r="S8" s="2521">
        <f>$K8</f>
      </c>
      <c r="T8" s="2526"/>
      <c r="U8" s="2527"/>
      <c r="V8" s="2528"/>
      <c r="W8" s="1861"/>
      <c r="X8" s="2528"/>
      <c r="Y8" s="2529"/>
      <c r="Z8" s="2818"/>
      <c r="AA8" s="2624" t="s">
        <v>63</v>
      </c>
      <c r="AB8" s="2818"/>
      <c r="AC8" s="2624" t="s">
        <v>63</v>
      </c>
      <c r="AD8" s="2528"/>
      <c r="AE8" s="1861"/>
      <c r="AF8" s="2528"/>
      <c r="AG8" s="2529"/>
      <c r="AH8" s="2818"/>
      <c r="AI8" s="2624" t="s">
        <v>63</v>
      </c>
      <c r="AJ8" s="2818"/>
      <c r="AK8" s="2624" t="s">
        <v>63</v>
      </c>
      <c r="AL8" s="1861"/>
      <c r="AM8" s="2765" t="s">
        <v>549</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1.25" hidden="1">
      <c r="A10" s="1875"/>
      <c r="B10" s="1875"/>
      <c r="C10" s="1875"/>
      <c r="D10" s="1875"/>
      <c r="E10" s="2771"/>
      <c r="F10" s="2771"/>
      <c r="G10" s="2771"/>
      <c r="H10" s="2771"/>
      <c r="I10" s="2798"/>
      <c r="J10" s="2768"/>
      <c r="K10" s="1875"/>
      <c r="L10" s="1876"/>
      <c r="M10" s="1049"/>
      <c r="N10" s="1878"/>
      <c r="P10" s="2769"/>
      <c r="Q10" s="2769"/>
      <c r="R10" s="868"/>
      <c r="S10" s="1790"/>
      <c r="T10" s="799"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0.7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50882"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14.2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4.75">
      <c r="Q26" s="888"/>
      <c r="R26" s="888"/>
      <c r="S26" s="281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755"/>
      <c r="AS26" s="1667">
        <v>52</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18.7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1667">
        <v>14</v>
      </c>
    </row>
    <row customHeight="1" ht="35.699999999999996">
      <c r="Q40" s="888"/>
      <c r="R40" s="888"/>
      <c r="S40" s="2785"/>
      <c r="T40" s="2721"/>
      <c r="U40" s="1543"/>
      <c r="V40" s="2772" t="s">
        <v>570</v>
      </c>
      <c r="W40" s="2795"/>
      <c r="X40" s="2774" t="s">
        <v>572</v>
      </c>
      <c r="Y40" s="2775"/>
      <c r="Z40" s="2774" t="s">
        <v>573</v>
      </c>
      <c r="AA40" s="2781"/>
      <c r="AB40" s="2775"/>
      <c r="AC40" s="2790"/>
      <c r="AD40" s="2772" t="s">
        <v>586</v>
      </c>
      <c r="AE40" s="2795"/>
      <c r="AF40" s="2774" t="s">
        <v>572</v>
      </c>
      <c r="AG40" s="2775"/>
      <c r="AH40" s="2774" t="s">
        <v>573</v>
      </c>
      <c r="AI40" s="2781"/>
      <c r="AJ40" s="2775"/>
      <c r="AK40" s="2790"/>
      <c r="AL40" s="2793"/>
      <c r="AM40" s="2639"/>
      <c r="AS40" s="1667">
        <v>34</v>
      </c>
    </row>
    <row customHeight="1" ht="35.699999999999996">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Q41" s="888"/>
      <c r="R41" s="888"/>
      <c r="S41" s="2785"/>
      <c r="T41" s="2721"/>
      <c r="U41" s="814"/>
      <c r="V41" s="2773"/>
      <c r="W41" s="2796"/>
      <c r="X41" s="1734" t="s">
        <v>581</v>
      </c>
      <c r="Y41" s="1734" t="s">
        <v>582</v>
      </c>
      <c r="Z41" s="1850" t="s">
        <v>583</v>
      </c>
      <c r="AA41" s="2782" t="s">
        <v>584</v>
      </c>
      <c r="AB41" s="2783"/>
      <c r="AC41" s="2791"/>
      <c r="AD41" s="2773"/>
      <c r="AE41" s="2796"/>
      <c r="AF41" s="1734" t="s">
        <v>581</v>
      </c>
      <c r="AG41" s="1734" t="s">
        <v>582</v>
      </c>
      <c r="AH41" s="1850" t="s">
        <v>583</v>
      </c>
      <c r="AI41" s="2782" t="s">
        <v>584</v>
      </c>
      <c r="AJ41" s="2783"/>
      <c r="AK41" s="2791"/>
      <c r="AL41" s="2794"/>
      <c r="AM41" s="2639"/>
      <c r="AS41" s="1667">
        <v>34</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240</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240</v>
      </c>
      <c r="B44" s="1875" t="s">
        <v>241</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21</v>
      </c>
    </row>
    <row customHeight="1" ht="24">
      <c r="A45" s="1875" t="s">
        <v>240</v>
      </c>
      <c r="B45" s="1875" t="s">
        <v>241</v>
      </c>
      <c r="C45" s="1875" t="s">
        <v>242</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2.049999999999997">
      <c r="A46" s="1875" t="s">
        <v>240</v>
      </c>
      <c r="B46" s="1875" t="s">
        <v>241</v>
      </c>
      <c r="C46" s="1875" t="s">
        <v>242</v>
      </c>
      <c r="D46" s="1875" t="s">
        <v>243</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21</v>
      </c>
    </row>
    <row s="50882" customFormat="1" customHeight="1" ht="0">
      <c r="A47" s="1855" t="s">
        <v>240</v>
      </c>
      <c r="B47" s="1855" t="s">
        <v>241</v>
      </c>
      <c r="C47" s="1855" t="s">
        <v>242</v>
      </c>
      <c r="D47" s="1855" t="s">
        <v>243</v>
      </c>
      <c r="E47" s="2771"/>
      <c r="F47" s="2771"/>
      <c r="G47" s="2771"/>
      <c r="H47" s="2771"/>
      <c r="I47" s="2768" t="str">
        <f>S46&amp;".1"</f>
        <v>....1</v>
      </c>
      <c r="J47" s="1855"/>
      <c r="K47" s="1855"/>
      <c r="L47" s="1858" t="s">
        <v>542</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240</v>
      </c>
      <c r="B48" s="1875" t="s">
        <v>241</v>
      </c>
      <c r="C48" s="1875" t="s">
        <v>242</v>
      </c>
      <c r="D48" s="1875" t="s">
        <v>243</v>
      </c>
      <c r="E48" s="2771"/>
      <c r="F48" s="2771"/>
      <c r="G48" s="2771"/>
      <c r="H48" s="2771"/>
      <c r="I48" s="2798"/>
      <c r="J48" s="2768" t="str">
        <f>S46&amp;".1"</f>
        <v>....1</v>
      </c>
      <c r="K48" s="1875"/>
      <c r="L48" s="1876" t="s">
        <v>545</v>
      </c>
      <c r="P48" s="2769"/>
      <c r="Q48" s="2769">
        <v>1</v>
      </c>
      <c r="R48" s="869"/>
      <c r="S48" s="1848" t="str">
        <f>$J48</f>
        <v>....1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21</v>
      </c>
    </row>
    <row customHeight="1" ht="22.049999999999997">
      <c r="A49" s="1875" t="s">
        <v>240</v>
      </c>
      <c r="B49" s="1875" t="s">
        <v>241</v>
      </c>
      <c r="C49" s="1875" t="s">
        <v>242</v>
      </c>
      <c r="D49" s="1875" t="s">
        <v>243</v>
      </c>
      <c r="E49" s="2771"/>
      <c r="F49" s="2771"/>
      <c r="G49" s="2771"/>
      <c r="H49" s="2771"/>
      <c r="I49" s="2798"/>
      <c r="J49" s="2798"/>
      <c r="K49" s="2768" t="str">
        <f>J48&amp;".1"</f>
        <v>....1.1</v>
      </c>
      <c r="L49" s="1876" t="s">
        <v>548</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587</v>
      </c>
      <c r="AN49" s="1023">
        <f>STRCHECKDATE(V50:AL50)</f>
      </c>
      <c r="AO49" s="1012"/>
      <c r="AP49" s="1012" t="str">
        <f>IF(T49="","",T49)</f>
        <v/>
      </c>
      <c r="AQ49" s="1012"/>
      <c r="AR49" s="1012"/>
      <c r="AS49" s="1667">
        <v>21</v>
      </c>
    </row>
    <row customHeight="1" ht="1.05">
      <c r="A50" s="1875" t="s">
        <v>240</v>
      </c>
      <c r="B50" s="1875" t="s">
        <v>241</v>
      </c>
      <c r="C50" s="1875" t="s">
        <v>242</v>
      </c>
      <c r="D50" s="1875" t="s">
        <v>243</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240</v>
      </c>
      <c r="B51" s="1875" t="s">
        <v>241</v>
      </c>
      <c r="C51" s="1875" t="s">
        <v>242</v>
      </c>
      <c r="D51" s="1875" t="s">
        <v>243</v>
      </c>
      <c r="E51" s="2771"/>
      <c r="F51" s="2771"/>
      <c r="G51" s="2771"/>
      <c r="H51" s="2771"/>
      <c r="I51" s="2798"/>
      <c r="J51" s="2768"/>
      <c r="K51" s="1875"/>
      <c r="L51" s="1876"/>
      <c r="P51" s="2769"/>
      <c r="Q51" s="2769"/>
      <c r="R51" s="868"/>
      <c r="S51" s="1790"/>
      <c r="T51" s="799"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240</v>
      </c>
      <c r="B52" s="1875" t="s">
        <v>241</v>
      </c>
      <c r="C52" s="1875" t="s">
        <v>242</v>
      </c>
      <c r="D52" s="1875" t="s">
        <v>243</v>
      </c>
      <c r="E52" s="2771"/>
      <c r="F52" s="2771"/>
      <c r="G52" s="2771"/>
      <c r="H52" s="2771"/>
      <c r="I52" s="2768"/>
      <c r="J52" s="1875"/>
      <c r="K52" s="1875"/>
      <c r="L52" s="1876"/>
      <c r="P52" s="2769"/>
      <c r="Q52" s="1843"/>
      <c r="R52" s="868"/>
      <c r="S52" s="1790"/>
      <c r="T52" s="877"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240</v>
      </c>
      <c r="B53" s="1875" t="s">
        <v>241</v>
      </c>
      <c r="C53" s="1875" t="s">
        <v>242</v>
      </c>
      <c r="D53" s="1875" t="s">
        <v>243</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50882" customFormat="1" customHeight="1" ht="1.05">
      <c r="A54" s="1855" t="s">
        <v>240</v>
      </c>
      <c r="B54" s="1855" t="s">
        <v>241</v>
      </c>
      <c r="C54" s="1855" t="s">
        <v>242</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50882" customFormat="1" customHeight="1" ht="1.05">
      <c r="A55" s="1855" t="s">
        <v>240</v>
      </c>
      <c r="B55" s="1855" t="s">
        <v>241</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50882" customFormat="1" customHeight="1" ht="1.05">
      <c r="A56" s="1855" t="s">
        <v>240</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50882"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3.2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22</v>
      </c>
    </row>
    <row customHeight="1" ht="30.4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29</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AFBC06-349E-2EC6-5D89-0491F754A13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8" width="3.7109375" hidden="1" customWidth="1"/>
    <col min="17" max="18" style="51809" width="3.00390625" customWidth="1"/>
    <col min="19" max="19" style="51810" width="12.00390625" customWidth="1"/>
    <col min="20" max="20" style="50801" width="31.00390625" customWidth="1"/>
    <col min="21" max="21" style="50801" width="0.140625" customWidth="1"/>
    <col min="22" max="22" style="50801" width="24.7109375" hidden="1" customWidth="1"/>
    <col min="23" max="23" style="50801" width="0.140625" hidden="1" customWidth="1"/>
    <col min="24" max="25" style="50801" width="24.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24.7109375" customWidth="1"/>
    <col min="31" max="31" style="50801" width="0.140625" customWidth="1"/>
    <col min="32" max="33" style="50801" width="24.00390625" customWidth="1"/>
    <col min="34" max="34" style="50801" width="11.00390625" customWidth="1"/>
    <col min="35" max="35" style="50801" width="3.7109375" customWidth="1"/>
    <col min="36" max="36" style="50801" width="11.00390625" customWidth="1"/>
    <col min="37" max="37" style="50801" width="8.57421875" hidden="1" customWidth="1"/>
    <col min="38" max="38" style="50801" width="4.00390625" customWidth="1"/>
    <col min="39" max="39" style="50801" width="115.00390625" customWidth="1"/>
    <col min="40" max="44" style="50882" width="10.00390625" customWidth="1"/>
    <col min="45" max="45" style="50801"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189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535</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536</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537</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538</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539</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540</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541</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542</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545</v>
      </c>
      <c r="M7" s="1049"/>
      <c r="N7" s="1878"/>
      <c r="P7" s="2769"/>
      <c r="Q7" s="2769">
        <v>1</v>
      </c>
      <c r="R7" s="869"/>
      <c r="S7" s="1848">
        <f>$J7</f>
      </c>
      <c r="T7" s="798" t="s">
        <v>546</v>
      </c>
      <c r="U7" s="812"/>
      <c r="V7" s="2757"/>
      <c r="W7" s="2758"/>
      <c r="X7" s="2758"/>
      <c r="Y7" s="2758"/>
      <c r="Z7" s="2758"/>
      <c r="AA7" s="2758"/>
      <c r="AB7" s="2758"/>
      <c r="AC7" s="2759"/>
      <c r="AD7" s="2757"/>
      <c r="AE7" s="2758"/>
      <c r="AF7" s="2758"/>
      <c r="AG7" s="2758"/>
      <c r="AH7" s="2758"/>
      <c r="AI7" s="2758"/>
      <c r="AJ7" s="2758"/>
      <c r="AK7" s="2758"/>
      <c r="AL7" s="2759"/>
      <c r="AM7" s="1770" t="s">
        <v>547</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548</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549</v>
      </c>
      <c r="AN8" s="1023">
        <f>STRCHECKDATE(V9:AL9)</f>
      </c>
      <c r="AO8" s="1012"/>
      <c r="AP8" s="1012" t="str">
        <f>IF(T8="","",T8)</f>
        <v/>
      </c>
      <c r="AQ8" s="1012"/>
      <c r="AR8" s="1012"/>
      <c r="AS8" s="1667">
        <v>0</v>
      </c>
    </row>
    <row customHeight="1" ht="14.2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550</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551</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50882" customFormat="1" customHeight="1" ht="14.25" hidden="1">
      <c r="A13" s="1826"/>
      <c r="B13" s="1826"/>
      <c r="C13" s="1826"/>
      <c r="D13" s="1826"/>
      <c r="E13" s="2771"/>
      <c r="F13" s="2771"/>
      <c r="G13" s="2770"/>
      <c r="H13" s="1826"/>
      <c r="I13" s="1826"/>
      <c r="J13" s="1826"/>
      <c r="K13" s="1826"/>
      <c r="L13" s="1851"/>
      <c r="M13" s="1827"/>
      <c r="N13" s="1827"/>
      <c r="P13" s="1828"/>
      <c r="Q13" s="1829"/>
      <c r="R13" s="1828"/>
      <c r="S13" s="1830"/>
      <c r="T13" s="1831" t="s">
        <v>553</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50882" customFormat="1" customHeight="1" ht="14.25" hidden="1">
      <c r="A14" s="1826"/>
      <c r="B14" s="1826"/>
      <c r="C14" s="1826"/>
      <c r="D14" s="1826"/>
      <c r="E14" s="2771"/>
      <c r="F14" s="2770"/>
      <c r="G14" s="1826"/>
      <c r="H14" s="1826"/>
      <c r="I14" s="1826"/>
      <c r="J14" s="1826"/>
      <c r="K14" s="1826"/>
      <c r="L14" s="1851"/>
      <c r="M14" s="1833"/>
      <c r="N14" s="1833"/>
      <c r="P14" s="1828"/>
      <c r="Q14" s="1829"/>
      <c r="R14" s="1828"/>
      <c r="S14" s="1834"/>
      <c r="T14" s="1835" t="s">
        <v>290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50882" customFormat="1" customHeight="1" ht="14.25" hidden="1">
      <c r="A15" s="1826"/>
      <c r="B15" s="1826"/>
      <c r="C15" s="1826"/>
      <c r="D15" s="1826"/>
      <c r="E15" s="2770"/>
      <c r="F15" s="1826"/>
      <c r="G15" s="1826"/>
      <c r="H15" s="1826"/>
      <c r="I15" s="1826"/>
      <c r="J15" s="1826"/>
      <c r="K15" s="1826"/>
      <c r="L15" s="1851"/>
      <c r="M15" s="1833"/>
      <c r="N15" s="1833"/>
      <c r="P15" s="1828"/>
      <c r="Q15" s="1829"/>
      <c r="R15" s="1828"/>
      <c r="S15" s="1834"/>
      <c r="T15" s="1837" t="s">
        <v>365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50881" customFormat="1" customHeight="1" ht="22.5" hidden="1">
      <c r="L20" s="1841"/>
      <c r="M20" s="1874"/>
      <c r="N20" s="1874"/>
      <c r="O20" s="1879" t="s">
        <v>554</v>
      </c>
      <c r="P20" s="1874"/>
      <c r="Q20" s="1883"/>
      <c r="R20" s="1883"/>
      <c r="S20" s="1241"/>
      <c r="Z20" s="1879"/>
      <c r="AB20" s="1879"/>
      <c r="AC20" s="1878"/>
      <c r="AH20" s="1879"/>
      <c r="AJ20" s="1879"/>
      <c r="AK20" s="1878"/>
      <c r="AN20" s="1023"/>
      <c r="AO20" s="1023"/>
      <c r="AP20" s="1023"/>
      <c r="AQ20" s="1023"/>
      <c r="AR20" s="1023"/>
      <c r="AS20" s="1672">
        <v>0</v>
      </c>
    </row>
    <row s="50881" customFormat="1" customHeight="1" ht="14.25" hidden="1">
      <c r="L21" s="1841"/>
      <c r="M21" s="1874"/>
      <c r="N21" s="1874"/>
      <c r="O21" s="1874"/>
      <c r="P21" s="1874"/>
      <c r="Q21" s="1883"/>
      <c r="R21" s="1883"/>
      <c r="S21" s="1241"/>
      <c r="AC21" s="1878"/>
      <c r="AK21" s="1878"/>
      <c r="AN21" s="1023"/>
      <c r="AO21" s="1023"/>
      <c r="AP21" s="1023"/>
      <c r="AQ21" s="1023"/>
      <c r="AR21" s="1023"/>
      <c r="AS21" s="1672">
        <v>0</v>
      </c>
    </row>
    <row s="50881" customFormat="1" customHeight="1" ht="14.25" hidden="1">
      <c r="L22" s="1841"/>
      <c r="M22" s="1874"/>
      <c r="N22" s="1874"/>
      <c r="O22" s="1876" t="s">
        <v>555</v>
      </c>
      <c r="P22" s="1874"/>
      <c r="Q22" s="1883"/>
      <c r="R22" s="1883"/>
      <c r="S22" s="1241"/>
      <c r="T22" s="1672" t="s">
        <v>556</v>
      </c>
      <c r="AA22" s="698" t="s">
        <v>557</v>
      </c>
      <c r="AC22" s="698" t="s">
        <v>558</v>
      </c>
      <c r="AD22" s="1672" t="s">
        <v>556</v>
      </c>
      <c r="AI22" s="698" t="s">
        <v>559</v>
      </c>
      <c r="AK22" s="698" t="s">
        <v>558</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3.54999999999999">
      <c r="Q26" s="888"/>
      <c r="R26" s="888"/>
      <c r="S26" s="27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51</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51018"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51018" customFormat="1" customHeight="1" ht="18.75">
      <c r="A30" s="1880"/>
      <c r="B30" s="1880"/>
      <c r="C30" s="1880"/>
      <c r="D30" s="1880"/>
      <c r="E30" s="1880"/>
      <c r="F30" s="1880"/>
      <c r="G30" s="1880"/>
      <c r="H30" s="1880"/>
      <c r="I30" s="1880"/>
      <c r="J30" s="1880"/>
      <c r="K30" s="1880"/>
      <c r="L30" s="1881"/>
      <c r="M30" s="1880"/>
      <c r="N30" s="1880"/>
      <c r="O30" s="1880"/>
      <c r="S30" s="2762" t="s">
        <v>560</v>
      </c>
      <c r="T30" s="2762"/>
      <c r="U30" s="1884"/>
      <c r="V30" s="2776" t="str">
        <f>IF(TITLE_DATE_PR_CHANGE="",IF(TITLE_DATE_PR="","",TITLE_DATE_PR),TITLE_DATE_PR_CHANGE)</f>
        <v>45631.710694444446</v>
      </c>
      <c r="W30" s="2776"/>
      <c r="X30" s="2776"/>
      <c r="Y30" s="2776"/>
      <c r="Z30" s="2776"/>
      <c r="AA30" s="2776"/>
      <c r="AB30" s="2776"/>
      <c r="AC30" s="838"/>
      <c r="AD30" s="2776" t="str">
        <f>IF(TITLE_DATE_PR_CHANGE="",IF(TITLE_DATE_PR="","",TITLE_DATE_PR),TITLE_DATE_PR_CHANGE)</f>
        <v>45631.710694444446</v>
      </c>
      <c r="AE30" s="2776"/>
      <c r="AF30" s="2776"/>
      <c r="AG30" s="2776"/>
      <c r="AH30" s="2776"/>
      <c r="AI30" s="2776"/>
      <c r="AJ30" s="2776"/>
      <c r="AK30" s="838"/>
      <c r="AL30" s="838"/>
      <c r="AM30" s="792"/>
      <c r="AN30" s="880"/>
      <c r="AO30" s="880"/>
      <c r="AP30" s="880"/>
      <c r="AQ30" s="880"/>
      <c r="AR30" s="880"/>
      <c r="AS30" s="930">
        <v>0</v>
      </c>
    </row>
    <row s="51018" customFormat="1" customHeight="1" ht="18.75">
      <c r="A31" s="1880"/>
      <c r="B31" s="1880"/>
      <c r="C31" s="1880"/>
      <c r="D31" s="1880"/>
      <c r="E31" s="1880"/>
      <c r="F31" s="1880"/>
      <c r="G31" s="1880"/>
      <c r="H31" s="1880"/>
      <c r="I31" s="1880"/>
      <c r="J31" s="1880"/>
      <c r="K31" s="1880"/>
      <c r="L31" s="1881"/>
      <c r="M31" s="1880"/>
      <c r="N31" s="1880"/>
      <c r="O31" s="1880"/>
      <c r="S31" s="2762" t="s">
        <v>561</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51018"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51018" customFormat="1" customHeight="1" ht="18.75" hidden="1">
      <c r="A34" s="1880"/>
      <c r="B34" s="1880"/>
      <c r="C34" s="1880"/>
      <c r="D34" s="1880"/>
      <c r="E34" s="1880"/>
      <c r="F34" s="1880"/>
      <c r="G34" s="1880"/>
      <c r="H34" s="1880"/>
      <c r="I34" s="1880"/>
      <c r="J34" s="1880"/>
      <c r="K34" s="1880"/>
      <c r="L34" s="1881"/>
      <c r="M34" s="1880"/>
      <c r="N34" s="1880"/>
      <c r="O34" s="1880"/>
      <c r="S34" s="2762" t="s">
        <v>562</v>
      </c>
      <c r="T34" s="2762"/>
      <c r="U34" s="1884"/>
      <c r="V34" s="2776" t="str">
        <f>IF(TITLE_DATE_PR_CHANGE="",IF(TITLE_DATE_PR="","",TITLE_DATE_PR),TITLE_DATE_PR_CHANGE)</f>
        <v>45631.710694444446</v>
      </c>
      <c r="W34" s="2776"/>
      <c r="X34" s="2776"/>
      <c r="Y34" s="2776"/>
      <c r="Z34" s="2776"/>
      <c r="AA34" s="2776"/>
      <c r="AB34" s="2776"/>
      <c r="AC34" s="838"/>
      <c r="AD34" s="2776" t="str">
        <f>IF(TITLE_DATE_PR_CHANGE="",IF(TITLE_DATE_PR="","",TITLE_DATE_PR),TITLE_DATE_PR_CHANGE)</f>
        <v>45631.710694444446</v>
      </c>
      <c r="AE34" s="2776"/>
      <c r="AF34" s="2776"/>
      <c r="AG34" s="2776"/>
      <c r="AH34" s="2776"/>
      <c r="AI34" s="2776"/>
      <c r="AJ34" s="2776"/>
      <c r="AK34" s="838"/>
      <c r="AL34" s="838"/>
      <c r="AM34" s="792"/>
      <c r="AN34" s="880"/>
      <c r="AO34" s="880"/>
      <c r="AP34" s="880"/>
      <c r="AQ34" s="880"/>
      <c r="AR34" s="880"/>
      <c r="AS34" s="930">
        <v>0</v>
      </c>
    </row>
    <row s="51018" customFormat="1" customHeight="1" ht="25.5" hidden="1">
      <c r="A35" s="1880"/>
      <c r="B35" s="1880"/>
      <c r="C35" s="1880"/>
      <c r="D35" s="1880"/>
      <c r="E35" s="1880"/>
      <c r="F35" s="1880"/>
      <c r="G35" s="1880"/>
      <c r="H35" s="1880"/>
      <c r="I35" s="1880"/>
      <c r="J35" s="1880"/>
      <c r="K35" s="1880"/>
      <c r="L35" s="1881"/>
      <c r="M35" s="1880"/>
      <c r="N35" s="1880"/>
      <c r="O35" s="1880"/>
      <c r="S35" s="2762" t="s">
        <v>563</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51018"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564</v>
      </c>
      <c r="AD36" s="838"/>
      <c r="AE36" s="838"/>
      <c r="AF36" s="838"/>
      <c r="AG36" s="838"/>
      <c r="AH36" s="838"/>
      <c r="AI36" s="838"/>
      <c r="AJ36" s="838"/>
      <c r="AK36" s="790" t="s">
        <v>564</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439</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440</v>
      </c>
      <c r="AS38" s="1667">
        <v>14</v>
      </c>
    </row>
    <row customHeight="1" ht="14.699999999999998">
      <c r="Q39" s="888"/>
      <c r="R39" s="888"/>
      <c r="S39" s="2785" t="s">
        <v>90</v>
      </c>
      <c r="T39" s="2721" t="s">
        <v>565</v>
      </c>
      <c r="U39" s="813"/>
      <c r="V39" s="2786" t="s">
        <v>566</v>
      </c>
      <c r="W39" s="2787"/>
      <c r="X39" s="2787"/>
      <c r="Y39" s="2787"/>
      <c r="Z39" s="2787"/>
      <c r="AA39" s="2787"/>
      <c r="AB39" s="2788"/>
      <c r="AC39" s="2789" t="s">
        <v>567</v>
      </c>
      <c r="AD39" s="2786" t="s">
        <v>566</v>
      </c>
      <c r="AE39" s="2787"/>
      <c r="AF39" s="2787"/>
      <c r="AG39" s="2787"/>
      <c r="AH39" s="2787"/>
      <c r="AI39" s="2787"/>
      <c r="AJ39" s="2788"/>
      <c r="AK39" s="2789" t="s">
        <v>568</v>
      </c>
      <c r="AL39" s="2792" t="s">
        <v>569</v>
      </c>
      <c r="AM39" s="2639"/>
      <c r="AS39" s="1667">
        <v>14</v>
      </c>
    </row>
    <row customHeight="1" ht="35.699999999999996">
      <c r="Q40" s="888"/>
      <c r="R40" s="888"/>
      <c r="S40" s="2785"/>
      <c r="T40" s="2721"/>
      <c r="U40" s="1543"/>
      <c r="V40" s="2772" t="s">
        <v>570</v>
      </c>
      <c r="W40" s="2795"/>
      <c r="X40" s="2774" t="s">
        <v>572</v>
      </c>
      <c r="Y40" s="2775"/>
      <c r="Z40" s="2774" t="s">
        <v>573</v>
      </c>
      <c r="AA40" s="2781"/>
      <c r="AB40" s="2775"/>
      <c r="AC40" s="2790"/>
      <c r="AD40" s="2772" t="s">
        <v>586</v>
      </c>
      <c r="AE40" s="2795"/>
      <c r="AF40" s="2774" t="s">
        <v>572</v>
      </c>
      <c r="AG40" s="2775"/>
      <c r="AH40" s="2774" t="s">
        <v>573</v>
      </c>
      <c r="AI40" s="2781"/>
      <c r="AJ40" s="2775"/>
      <c r="AK40" s="2790"/>
      <c r="AL40" s="2793"/>
      <c r="AM40" s="2639"/>
      <c r="AS40" s="1667">
        <v>34</v>
      </c>
    </row>
    <row customHeight="1" ht="35.699999999999996">
      <c r="A41" s="1882"/>
      <c r="B41" s="1882" t="s">
        <v>201</v>
      </c>
      <c r="C41" s="1882" t="s">
        <v>202</v>
      </c>
      <c r="D41" s="1882" t="s">
        <v>203</v>
      </c>
      <c r="E41" s="1876" t="s">
        <v>574</v>
      </c>
      <c r="F41" s="1876" t="s">
        <v>575</v>
      </c>
      <c r="G41" s="1876" t="s">
        <v>576</v>
      </c>
      <c r="H41" s="1876" t="s">
        <v>577</v>
      </c>
      <c r="I41" s="1876" t="s">
        <v>578</v>
      </c>
      <c r="J41" s="1876" t="s">
        <v>579</v>
      </c>
      <c r="K41" s="1876" t="s">
        <v>580</v>
      </c>
      <c r="L41" s="1876" t="s">
        <v>555</v>
      </c>
      <c r="Q41" s="888"/>
      <c r="R41" s="888"/>
      <c r="S41" s="2785"/>
      <c r="T41" s="2721"/>
      <c r="U41" s="814"/>
      <c r="V41" s="2773"/>
      <c r="W41" s="2796"/>
      <c r="X41" s="1734" t="s">
        <v>581</v>
      </c>
      <c r="Y41" s="1734" t="s">
        <v>582</v>
      </c>
      <c r="Z41" s="1850" t="s">
        <v>583</v>
      </c>
      <c r="AA41" s="2782" t="s">
        <v>584</v>
      </c>
      <c r="AB41" s="2783"/>
      <c r="AC41" s="2791"/>
      <c r="AD41" s="2773"/>
      <c r="AE41" s="2796"/>
      <c r="AF41" s="1734" t="s">
        <v>581</v>
      </c>
      <c r="AG41" s="1734" t="s">
        <v>582</v>
      </c>
      <c r="AH41" s="1850" t="s">
        <v>583</v>
      </c>
      <c r="AI41" s="2782" t="s">
        <v>584</v>
      </c>
      <c r="AJ41" s="2783"/>
      <c r="AK41" s="2791"/>
      <c r="AL41" s="2794"/>
      <c r="AM41" s="2639"/>
      <c r="AS41" s="1667">
        <v>34</v>
      </c>
    </row>
    <row s="51564"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246</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189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246</v>
      </c>
      <c r="B44" s="1875" t="s">
        <v>247</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536</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537</v>
      </c>
      <c r="AO44" s="1012"/>
      <c r="AP44" s="1012" t="str">
        <f>IF(T44="","",T44)</f>
        <v>Территория действия тарифа</v>
      </c>
      <c r="AQ44" s="1012"/>
      <c r="AR44" s="1012"/>
      <c r="AS44" s="1667">
        <v>21</v>
      </c>
    </row>
    <row customHeight="1" ht="24">
      <c r="A45" s="1875" t="s">
        <v>246</v>
      </c>
      <c r="B45" s="1875" t="s">
        <v>247</v>
      </c>
      <c r="C45" s="1875" t="s">
        <v>248</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538</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539</v>
      </c>
      <c r="AO45" s="1012"/>
      <c r="AP45" s="1012" t="str">
        <f>IF(T45="","",T45)</f>
        <v>Наименование системы теплоснабжения </v>
      </c>
      <c r="AQ45" s="1012"/>
      <c r="AR45" s="1012"/>
      <c r="AS45" s="1667">
        <v>23</v>
      </c>
    </row>
    <row customHeight="1" ht="22.049999999999997">
      <c r="A46" s="1875" t="s">
        <v>246</v>
      </c>
      <c r="B46" s="1875" t="s">
        <v>247</v>
      </c>
      <c r="C46" s="1875" t="s">
        <v>248</v>
      </c>
      <c r="D46" s="1875" t="s">
        <v>249</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540</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541</v>
      </c>
      <c r="AO46" s="1012"/>
      <c r="AP46" s="1012" t="str">
        <f>IF(T46="","",T46)</f>
        <v>Источник тепловой энергии  </v>
      </c>
      <c r="AQ46" s="1012"/>
      <c r="AR46" s="1012"/>
      <c r="AS46" s="1667">
        <v>21</v>
      </c>
    </row>
    <row s="50882" customFormat="1" customHeight="1" ht="0">
      <c r="A47" s="1855" t="s">
        <v>246</v>
      </c>
      <c r="B47" s="1855" t="s">
        <v>247</v>
      </c>
      <c r="C47" s="1855" t="s">
        <v>248</v>
      </c>
      <c r="D47" s="1855" t="s">
        <v>249</v>
      </c>
      <c r="E47" s="2771"/>
      <c r="F47" s="2771"/>
      <c r="G47" s="2771"/>
      <c r="H47" s="2771"/>
      <c r="I47" s="2768" t="str">
        <f>S46&amp;".1"</f>
        <v>....1</v>
      </c>
      <c r="J47" s="1855"/>
      <c r="K47" s="1855"/>
      <c r="L47" s="1858" t="s">
        <v>542</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246</v>
      </c>
      <c r="B48" s="1875" t="s">
        <v>247</v>
      </c>
      <c r="C48" s="1875" t="s">
        <v>248</v>
      </c>
      <c r="D48" s="1875" t="s">
        <v>249</v>
      </c>
      <c r="E48" s="2771"/>
      <c r="F48" s="2771"/>
      <c r="G48" s="2771"/>
      <c r="H48" s="2771"/>
      <c r="I48" s="2798"/>
      <c r="J48" s="2768" t="str">
        <f>S46&amp;".1"</f>
        <v>....1</v>
      </c>
      <c r="K48" s="1875"/>
      <c r="L48" s="1876" t="s">
        <v>545</v>
      </c>
      <c r="P48" s="2769"/>
      <c r="Q48" s="2769">
        <v>1</v>
      </c>
      <c r="R48" s="869"/>
      <c r="S48" s="1848" t="str">
        <f>$J48</f>
        <v>....1</v>
      </c>
      <c r="T48" s="798" t="s">
        <v>546</v>
      </c>
      <c r="U48" s="812"/>
      <c r="V48" s="2757"/>
      <c r="W48" s="2758"/>
      <c r="X48" s="2758"/>
      <c r="Y48" s="2758"/>
      <c r="Z48" s="2758"/>
      <c r="AA48" s="2758"/>
      <c r="AB48" s="2758"/>
      <c r="AC48" s="2759"/>
      <c r="AD48" s="2757"/>
      <c r="AE48" s="2758"/>
      <c r="AF48" s="2758"/>
      <c r="AG48" s="2758"/>
      <c r="AH48" s="2758"/>
      <c r="AI48" s="2758"/>
      <c r="AJ48" s="2758"/>
      <c r="AK48" s="2758"/>
      <c r="AL48" s="2759"/>
      <c r="AM48" s="1770" t="s">
        <v>547</v>
      </c>
      <c r="AO48" s="1012"/>
      <c r="AP48" s="1012" t="str">
        <f>IF(T48="","",T48)</f>
        <v>Группа потребителей</v>
      </c>
      <c r="AQ48" s="1012"/>
      <c r="AR48" s="1012"/>
      <c r="AS48" s="1667">
        <v>21</v>
      </c>
    </row>
    <row customHeight="1" ht="22.049999999999997">
      <c r="A49" s="1875" t="s">
        <v>246</v>
      </c>
      <c r="B49" s="1875" t="s">
        <v>247</v>
      </c>
      <c r="C49" s="1875" t="s">
        <v>248</v>
      </c>
      <c r="D49" s="1875" t="s">
        <v>249</v>
      </c>
      <c r="E49" s="2771"/>
      <c r="F49" s="2771"/>
      <c r="G49" s="2771"/>
      <c r="H49" s="2771"/>
      <c r="I49" s="2798"/>
      <c r="J49" s="2798"/>
      <c r="K49" s="2768" t="str">
        <f>J48&amp;".1"</f>
        <v>....1.1</v>
      </c>
      <c r="L49" s="1876" t="s">
        <v>548</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587</v>
      </c>
      <c r="AN49" s="1023">
        <f>STRCHECKDATE(V50:AL50)</f>
      </c>
      <c r="AO49" s="1012"/>
      <c r="AP49" s="1012" t="str">
        <f>IF(T49="","",T49)</f>
        <v/>
      </c>
      <c r="AQ49" s="1012"/>
      <c r="AR49" s="1012"/>
      <c r="AS49" s="1667">
        <v>21</v>
      </c>
    </row>
    <row customHeight="1" ht="0">
      <c r="A50" s="1875" t="s">
        <v>246</v>
      </c>
      <c r="B50" s="1875" t="s">
        <v>247</v>
      </c>
      <c r="C50" s="1875" t="s">
        <v>248</v>
      </c>
      <c r="D50" s="1875" t="s">
        <v>249</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0</v>
      </c>
    </row>
    <row customHeight="1" ht="11.549999999999999">
      <c r="A51" s="1875" t="s">
        <v>246</v>
      </c>
      <c r="B51" s="1875" t="s">
        <v>247</v>
      </c>
      <c r="C51" s="1875" t="s">
        <v>248</v>
      </c>
      <c r="D51" s="1875" t="s">
        <v>249</v>
      </c>
      <c r="E51" s="2771"/>
      <c r="F51" s="2771"/>
      <c r="G51" s="2771"/>
      <c r="H51" s="2771"/>
      <c r="I51" s="2798"/>
      <c r="J51" s="2768"/>
      <c r="K51" s="1875"/>
      <c r="L51" s="1876"/>
      <c r="P51" s="2769"/>
      <c r="Q51" s="2769"/>
      <c r="R51" s="868"/>
      <c r="S51" s="1790"/>
      <c r="T51" s="799" t="s">
        <v>550</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246</v>
      </c>
      <c r="B52" s="1875" t="s">
        <v>247</v>
      </c>
      <c r="C52" s="1875" t="s">
        <v>248</v>
      </c>
      <c r="D52" s="1875" t="s">
        <v>249</v>
      </c>
      <c r="E52" s="2771"/>
      <c r="F52" s="2771"/>
      <c r="G52" s="2771"/>
      <c r="H52" s="2771"/>
      <c r="I52" s="2768"/>
      <c r="J52" s="1875"/>
      <c r="K52" s="1875"/>
      <c r="L52" s="1876"/>
      <c r="P52" s="2769"/>
      <c r="Q52" s="1843"/>
      <c r="R52" s="868"/>
      <c r="S52" s="1790"/>
      <c r="T52" s="877" t="s">
        <v>551</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246</v>
      </c>
      <c r="B53" s="1875" t="s">
        <v>247</v>
      </c>
      <c r="C53" s="1875" t="s">
        <v>248</v>
      </c>
      <c r="D53" s="1875" t="s">
        <v>249</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50882" customFormat="1" customHeight="1" ht="0">
      <c r="A54" s="1855" t="s">
        <v>246</v>
      </c>
      <c r="B54" s="1855" t="s">
        <v>247</v>
      </c>
      <c r="C54" s="1855" t="s">
        <v>248</v>
      </c>
      <c r="D54" s="1826"/>
      <c r="E54" s="2771"/>
      <c r="F54" s="2771"/>
      <c r="G54" s="2770"/>
      <c r="H54" s="1826"/>
      <c r="I54" s="1826"/>
      <c r="J54" s="1826"/>
      <c r="K54" s="1826"/>
      <c r="L54" s="1851"/>
      <c r="M54" s="1827"/>
      <c r="N54" s="1827"/>
      <c r="P54" s="1828"/>
      <c r="Q54" s="1829"/>
      <c r="R54" s="1828"/>
      <c r="S54" s="1834"/>
      <c r="T54" s="1837" t="s">
        <v>553</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0</v>
      </c>
    </row>
    <row s="50882" customFormat="1" customHeight="1" ht="0">
      <c r="A55" s="1855" t="s">
        <v>246</v>
      </c>
      <c r="B55" s="1855" t="s">
        <v>247</v>
      </c>
      <c r="C55" s="1826"/>
      <c r="D55" s="1826"/>
      <c r="E55" s="2771"/>
      <c r="F55" s="2770"/>
      <c r="G55" s="1826"/>
      <c r="H55" s="1826"/>
      <c r="I55" s="1826"/>
      <c r="J55" s="1826"/>
      <c r="K55" s="1826"/>
      <c r="L55" s="1851"/>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0</v>
      </c>
    </row>
    <row s="50882" customFormat="1" customHeight="1" ht="0">
      <c r="A56" s="1855" t="s">
        <v>246</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0</v>
      </c>
    </row>
    <row s="50882" customFormat="1" customHeight="1" ht="4.2">
      <c r="A57" s="1826"/>
      <c r="B57" s="1826"/>
      <c r="C57" s="1826"/>
      <c r="D57" s="1826"/>
      <c r="E57" s="1855"/>
      <c r="F57" s="1826"/>
      <c r="G57" s="1826"/>
      <c r="H57" s="1826"/>
      <c r="I57" s="1826"/>
      <c r="J57" s="1826"/>
      <c r="K57" s="1826"/>
      <c r="L57" s="1851"/>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4</v>
      </c>
    </row>
    <row customHeight="1" ht="11.549999999999999">
      <c r="M58" s="1672"/>
      <c r="N58" s="1672"/>
      <c r="O58" s="1049"/>
      <c r="P58" s="1667"/>
      <c r="Q58" s="1667"/>
      <c r="R58" s="1667"/>
      <c r="S58" s="1667"/>
      <c r="AN58" s="1667"/>
      <c r="AO58" s="1667"/>
      <c r="AP58" s="1667"/>
      <c r="AQ58" s="1667"/>
      <c r="AR58" s="1667"/>
      <c r="AS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14</v>
      </c>
    </row>
    <row customHeight="1" ht="14.699999999999998">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14</v>
      </c>
    </row>
    <row customHeight="1" ht="14.699999999999998">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14</v>
      </c>
    </row>
    <row customHeight="1" ht="14.699999999999998">
      <c r="O62" s="1049"/>
      <c r="AS62" s="1667">
        <v>14</v>
      </c>
    </row>
    <row customHeight="1" ht="14.699999999999998">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14</v>
      </c>
    </row>
    <row customHeight="1" ht="14.699999999999998">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14</v>
      </c>
    </row>
    <row customHeight="1" ht="14.699999999999998">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14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F598C3-355C-1FB6-6497-5194F24EC645}"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50801" width="10.57421875" hidden="1"/>
    <col min="2" max="2" style="50801" width="11.00390625" hidden="1" customWidth="1"/>
    <col min="3" max="3" style="50801" width="10.57421875" hidden="1"/>
    <col min="4" max="4" style="50801" width="11.8515625" hidden="1" customWidth="1"/>
    <col min="5" max="5" style="50801" width="10.00390625" hidden="1" customWidth="1"/>
    <col min="6" max="6" style="50801" width="8.7109375" hidden="1" customWidth="1"/>
    <col min="7" max="7" style="50801" width="7.57421875" hidden="1" customWidth="1"/>
    <col min="8" max="8" style="50801" width="11.421875" hidden="1" customWidth="1"/>
    <col min="9" max="9" style="50801" width="12.00390625" hidden="1" customWidth="1"/>
    <col min="10" max="10" style="50801" width="9.8515625" hidden="1" customWidth="1"/>
    <col min="11" max="12" style="50801" width="11.421875" hidden="1" customWidth="1"/>
    <col min="13" max="13" style="50879" width="19.140625" hidden="1" customWidth="1"/>
    <col min="14" max="15" style="51808" width="12.28125" hidden="1" customWidth="1"/>
    <col min="16" max="16" style="51808" width="23.421875" hidden="1" customWidth="1"/>
    <col min="17" max="17" style="51808" width="3.7109375" hidden="1" customWidth="1"/>
    <col min="18" max="20" style="51809" width="3.00390625" customWidth="1"/>
    <col min="21" max="21" style="51810" width="12.00390625" customWidth="1"/>
    <col min="22" max="22" style="50801" width="31.00390625" customWidth="1"/>
    <col min="23" max="23" style="50801" width="0.140625" customWidth="1"/>
    <col min="24" max="28" style="50801" width="21.7109375" hidden="1" customWidth="1"/>
    <col min="29" max="29" style="50801" width="11.7109375" hidden="1" customWidth="1"/>
    <col min="30" max="30" style="50801" width="3.7109375" hidden="1" customWidth="1"/>
    <col min="31" max="31" style="50801" width="11.7109375" hidden="1" customWidth="1"/>
    <col min="32" max="32" style="50801" width="8.57421875" hidden="1" customWidth="1"/>
    <col min="33" max="33" style="50801" width="21.7109375" customWidth="1"/>
    <col min="34" max="37" style="50801" width="21.00390625" customWidth="1"/>
    <col min="38" max="38" style="50801" width="11.00390625" customWidth="1"/>
    <col min="39" max="39" style="50801" width="3.7109375" customWidth="1"/>
    <col min="40" max="40" style="50801" width="11.00390625" customWidth="1"/>
    <col min="41" max="41" style="50801" width="8.57421875" hidden="1" customWidth="1"/>
    <col min="42" max="42" style="50801" width="4.00390625" customWidth="1"/>
    <col min="43" max="43" style="50801" width="115.00390625" customWidth="1"/>
    <col min="44" max="48" style="50882" width="10.00390625" customWidth="1"/>
    <col min="49" max="49" style="50801" width="10.57421875" hidden="1"/>
  </cols>
  <sheetData>
    <row customHeight="1" ht="22.5" hidden="1">
      <c r="AB1" s="839"/>
      <c r="AC1" s="839"/>
      <c r="AK1" s="839"/>
      <c r="AL1" s="839"/>
      <c r="AW1" s="1667" t="s">
        <v>14</v>
      </c>
    </row>
    <row customHeight="1" ht="21" hidden="1">
      <c r="A2" s="1779"/>
      <c r="B2" s="1779"/>
      <c r="C2" s="1779"/>
      <c r="D2" s="1779"/>
      <c r="E2" s="2801">
        <v>1</v>
      </c>
      <c r="F2" s="1779"/>
      <c r="G2" s="1779"/>
      <c r="H2" s="1779"/>
      <c r="I2" s="1779"/>
      <c r="J2" s="1779"/>
      <c r="K2" s="1779"/>
      <c r="L2" s="1779"/>
      <c r="M2" s="1822"/>
      <c r="N2" s="1200"/>
      <c r="O2" s="1200"/>
      <c r="P2" s="1200"/>
      <c r="Q2" s="873"/>
      <c r="R2" s="872"/>
      <c r="S2" s="872"/>
      <c r="T2" s="867"/>
      <c r="U2" s="1848">
        <f>INDEX(PT_DIFFERENTIATION_NUM_NTAR,MATCH(A2,PT_DIFFERENTIATION_NTAR_ID,0))</f>
      </c>
      <c r="V2" s="810" t="s">
        <v>189</v>
      </c>
      <c r="W2" s="812"/>
      <c r="X2" s="2754"/>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6"/>
      <c r="AQ2" s="1770" t="s">
        <v>535</v>
      </c>
      <c r="AS2" s="1012"/>
      <c r="AT2" s="1012" t="str">
        <f>IF(V2="","",V2)</f>
        <v>Наименование тарифа</v>
      </c>
      <c r="AU2" s="1012"/>
      <c r="AV2" s="1012"/>
      <c r="AW2" s="1667">
        <v>0</v>
      </c>
    </row>
    <row customHeight="1" ht="21" hidden="1">
      <c r="A3" s="1779"/>
      <c r="B3" s="1779"/>
      <c r="C3" s="1779"/>
      <c r="D3" s="1779"/>
      <c r="E3" s="2802"/>
      <c r="F3" s="2801">
        <v>1</v>
      </c>
      <c r="G3" s="1779"/>
      <c r="H3" s="1779"/>
      <c r="I3" s="1779"/>
      <c r="J3" s="1779"/>
      <c r="K3" s="1779"/>
      <c r="L3" s="1779"/>
      <c r="M3" s="1822"/>
      <c r="N3" s="1200"/>
      <c r="O3" s="1200"/>
      <c r="P3" s="1200"/>
      <c r="Q3" s="1844"/>
      <c r="R3" s="864"/>
      <c r="S3" s="1021"/>
      <c r="T3" s="865"/>
      <c r="U3" s="1848">
        <f>INDEX(PT_DIFFERENTIATION_NUM_TER,MATCH(B3,PT_DIFFERENTIATION_TER_ID,0))</f>
      </c>
      <c r="V3" s="820" t="s">
        <v>536</v>
      </c>
      <c r="W3" s="812"/>
      <c r="X3" s="2754"/>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6"/>
      <c r="AQ3" s="1770" t="s">
        <v>537</v>
      </c>
      <c r="AS3" s="1012"/>
      <c r="AT3" s="1012" t="str">
        <f>IF(V3="","",V3)</f>
        <v>Территория действия тарифа</v>
      </c>
      <c r="AU3" s="1012"/>
      <c r="AV3" s="1012"/>
      <c r="AW3" s="1667">
        <v>0</v>
      </c>
    </row>
    <row customHeight="1" ht="22.5" hidden="1">
      <c r="A4" s="1779"/>
      <c r="B4" s="1779"/>
      <c r="C4" s="1779"/>
      <c r="D4" s="1779"/>
      <c r="E4" s="2802"/>
      <c r="F4" s="2802"/>
      <c r="G4" s="2801">
        <v>1</v>
      </c>
      <c r="H4" s="1779"/>
      <c r="I4" s="1779"/>
      <c r="J4" s="1779"/>
      <c r="K4" s="1779"/>
      <c r="L4" s="1779"/>
      <c r="M4" s="1822"/>
      <c r="N4" s="1200"/>
      <c r="O4" s="1200"/>
      <c r="P4" s="1200"/>
      <c r="Q4" s="866"/>
      <c r="R4" s="864"/>
      <c r="S4" s="1021"/>
      <c r="T4" s="865"/>
      <c r="U4" s="1848">
        <f>INDEX(PT_DIFFERENTIATION_NUM_CS,MATCH(C4,PT_DIFFERENTIATION_CS_ID,0))</f>
      </c>
      <c r="V4" s="821" t="s">
        <v>538</v>
      </c>
      <c r="W4" s="812"/>
      <c r="X4" s="2754"/>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6"/>
      <c r="AQ4" s="1770" t="s">
        <v>539</v>
      </c>
      <c r="AS4" s="1012"/>
      <c r="AT4" s="1012" t="str">
        <f>IF(V4="","",V4)</f>
        <v>Наименование системы теплоснабжения </v>
      </c>
      <c r="AU4" s="1012"/>
      <c r="AV4" s="1012"/>
      <c r="AW4" s="1667">
        <v>0</v>
      </c>
    </row>
    <row customHeight="1" ht="21" hidden="1">
      <c r="A5" s="1779"/>
      <c r="B5" s="1779"/>
      <c r="C5" s="1779"/>
      <c r="D5" s="1779"/>
      <c r="E5" s="2802"/>
      <c r="F5" s="2802"/>
      <c r="G5" s="2802"/>
      <c r="H5" s="2801">
        <v>1</v>
      </c>
      <c r="I5" s="1779"/>
      <c r="J5" s="1779"/>
      <c r="K5" s="1779"/>
      <c r="L5" s="1779"/>
      <c r="M5" s="1822"/>
      <c r="N5" s="1200"/>
      <c r="O5" s="1200"/>
      <c r="P5" s="1200"/>
      <c r="Q5" s="866"/>
      <c r="R5" s="864"/>
      <c r="S5" s="1021"/>
      <c r="T5" s="865"/>
      <c r="U5" s="1848">
        <f>INDEX(PT_DIFFERENTIATION_NUM_IST_TE,MATCH(D5,PT_DIFFERENTIATION_IST_TE_ID,0))</f>
      </c>
      <c r="V5" s="822" t="s">
        <v>540</v>
      </c>
      <c r="W5" s="812"/>
      <c r="X5" s="2754"/>
      <c r="Y5" s="2755"/>
      <c r="Z5" s="2755"/>
      <c r="AA5" s="2755"/>
      <c r="AB5" s="2755"/>
      <c r="AC5" s="2755"/>
      <c r="AD5" s="2755"/>
      <c r="AE5" s="2755"/>
      <c r="AF5" s="2756"/>
      <c r="AG5" s="2754">
        <f>INDEX(PT_DIFFERENTIATION_IST_TE,MATCH(D5,PT_DIFFERENTIATION_IST_TE_ID,0))</f>
      </c>
      <c r="AH5" s="2755"/>
      <c r="AI5" s="2755"/>
      <c r="AJ5" s="2755"/>
      <c r="AK5" s="2755"/>
      <c r="AL5" s="2755"/>
      <c r="AM5" s="2755"/>
      <c r="AN5" s="2755"/>
      <c r="AO5" s="2755"/>
      <c r="AP5" s="2756"/>
      <c r="AQ5" s="1770" t="s">
        <v>541</v>
      </c>
      <c r="AS5" s="1012"/>
      <c r="AT5" s="1012" t="str">
        <f>IF(V5="","",V5)</f>
        <v>Источник тепловой энергии  </v>
      </c>
      <c r="AU5" s="1012"/>
      <c r="AV5" s="1012"/>
      <c r="AW5" s="1667">
        <v>0</v>
      </c>
    </row>
    <row customHeight="1" ht="14.25" hidden="1">
      <c r="A6" s="1779"/>
      <c r="B6" s="1779"/>
      <c r="C6" s="1779"/>
      <c r="D6" s="1779"/>
      <c r="E6" s="2802"/>
      <c r="F6" s="2802"/>
      <c r="G6" s="2802"/>
      <c r="H6" s="2802"/>
      <c r="I6" s="2639">
        <f>U5&amp;".1"</f>
      </c>
      <c r="J6" s="1779"/>
      <c r="K6" s="1779"/>
      <c r="L6" s="1779"/>
      <c r="M6" s="1822" t="s">
        <v>542</v>
      </c>
      <c r="N6" s="1021"/>
      <c r="Q6" s="2769">
        <v>1</v>
      </c>
      <c r="R6" s="1843"/>
      <c r="S6" s="1843"/>
      <c r="T6" s="868"/>
      <c r="U6" s="1554"/>
      <c r="V6" s="1895"/>
      <c r="W6" s="1896"/>
      <c r="X6" s="2808"/>
      <c r="Y6" s="2809"/>
      <c r="Z6" s="2809"/>
      <c r="AA6" s="2809"/>
      <c r="AB6" s="2809"/>
      <c r="AC6" s="2809"/>
      <c r="AD6" s="2809"/>
      <c r="AE6" s="2809"/>
      <c r="AF6" s="2810"/>
      <c r="AG6" s="2808"/>
      <c r="AH6" s="2809"/>
      <c r="AI6" s="2809"/>
      <c r="AJ6" s="2809"/>
      <c r="AK6" s="2809"/>
      <c r="AL6" s="2809"/>
      <c r="AM6" s="2809"/>
      <c r="AN6" s="2809"/>
      <c r="AO6" s="2809"/>
      <c r="AP6" s="2810"/>
      <c r="AQ6" s="1897"/>
      <c r="AS6" s="1012"/>
      <c r="AT6" s="1012" t="str">
        <f>IF(V6="","",V6)</f>
        <v/>
      </c>
      <c r="AU6" s="1012"/>
      <c r="AV6" s="1012"/>
      <c r="AW6" s="1667">
        <v>0</v>
      </c>
    </row>
    <row customHeight="1" ht="21" hidden="1">
      <c r="A7" s="1779"/>
      <c r="B7" s="1779"/>
      <c r="C7" s="1779"/>
      <c r="D7" s="1779"/>
      <c r="E7" s="2802"/>
      <c r="F7" s="2802"/>
      <c r="G7" s="2802"/>
      <c r="H7" s="2802"/>
      <c r="I7" s="2613"/>
      <c r="J7" s="2639">
        <f>I6&amp;".1"</f>
      </c>
      <c r="K7" s="1779"/>
      <c r="L7" s="1779"/>
      <c r="M7" s="1822" t="s">
        <v>545</v>
      </c>
      <c r="N7" s="1021"/>
      <c r="O7" s="839"/>
      <c r="Q7" s="2769"/>
      <c r="R7" s="2769">
        <v>1</v>
      </c>
      <c r="S7" s="1030"/>
      <c r="T7" s="869"/>
      <c r="U7" s="1848">
        <f>$J7</f>
      </c>
      <c r="V7" s="798" t="s">
        <v>546</v>
      </c>
      <c r="W7" s="812"/>
      <c r="X7" s="2757"/>
      <c r="Y7" s="2758"/>
      <c r="Z7" s="2758"/>
      <c r="AA7" s="2758"/>
      <c r="AB7" s="2758"/>
      <c r="AC7" s="2747"/>
      <c r="AD7" s="2747"/>
      <c r="AE7" s="2747"/>
      <c r="AF7" s="2820"/>
      <c r="AG7" s="2757"/>
      <c r="AH7" s="2758"/>
      <c r="AI7" s="2758"/>
      <c r="AJ7" s="2758"/>
      <c r="AK7" s="2758"/>
      <c r="AL7" s="2758"/>
      <c r="AM7" s="2758"/>
      <c r="AN7" s="2758"/>
      <c r="AO7" s="2758"/>
      <c r="AP7" s="2759"/>
      <c r="AQ7" s="1770" t="s">
        <v>547</v>
      </c>
      <c r="AS7" s="1012"/>
      <c r="AT7" s="1012" t="str">
        <f>IF(V7="","",V7)</f>
        <v>Группа потребителей</v>
      </c>
      <c r="AU7" s="1012"/>
      <c r="AV7" s="1012"/>
      <c r="AW7" s="1667">
        <v>0</v>
      </c>
    </row>
    <row customHeight="1" ht="21" hidden="1">
      <c r="A8" s="1779"/>
      <c r="B8" s="1779"/>
      <c r="C8" s="1779"/>
      <c r="D8" s="1779"/>
      <c r="E8" s="2802"/>
      <c r="F8" s="2802"/>
      <c r="G8" s="2802"/>
      <c r="H8" s="2802"/>
      <c r="I8" s="2613"/>
      <c r="J8" s="2613"/>
      <c r="K8" s="2639">
        <f>J7&amp;".1"</f>
      </c>
      <c r="L8" s="651"/>
      <c r="M8" s="1822" t="s">
        <v>548</v>
      </c>
      <c r="N8" s="1021"/>
      <c r="O8" s="839"/>
      <c r="P8" s="839"/>
      <c r="Q8" s="2769"/>
      <c r="R8" s="2769"/>
      <c r="S8" s="2769">
        <v>1</v>
      </c>
      <c r="T8" s="869"/>
      <c r="U8" s="1848">
        <f>$K8</f>
      </c>
      <c r="V8" s="1859"/>
      <c r="W8" s="812"/>
      <c r="X8" s="1263"/>
      <c r="Y8" s="1263"/>
      <c r="Z8" s="1263"/>
      <c r="AA8" s="1263"/>
      <c r="AB8" s="1917"/>
      <c r="AC8" s="2777"/>
      <c r="AD8" s="2619" t="s">
        <v>63</v>
      </c>
      <c r="AE8" s="2777"/>
      <c r="AF8" s="2619" t="s">
        <v>63</v>
      </c>
      <c r="AG8" s="1919"/>
      <c r="AH8" s="1263"/>
      <c r="AI8" s="1263"/>
      <c r="AJ8" s="1263"/>
      <c r="AK8" s="1769"/>
      <c r="AL8" s="2777"/>
      <c r="AM8" s="2619" t="s">
        <v>63</v>
      </c>
      <c r="AN8" s="2777"/>
      <c r="AO8" s="2619" t="s">
        <v>63</v>
      </c>
      <c r="AP8" s="837"/>
      <c r="AQ8" s="1819" t="s">
        <v>588</v>
      </c>
      <c r="AR8" s="1023">
        <f>STRCHECKDATE(X10:AP10)</f>
      </c>
      <c r="AS8" s="1012"/>
      <c r="AT8" s="1012" t="str">
        <f>IF(V8="","",V8)</f>
        <v/>
      </c>
      <c r="AU8" s="1012"/>
      <c r="AV8" s="1012"/>
      <c r="AW8" s="1667">
        <v>0</v>
      </c>
    </row>
    <row customHeight="1" ht="21" hidden="1">
      <c r="A9" s="1779"/>
      <c r="B9" s="1779"/>
      <c r="C9" s="1779"/>
      <c r="D9" s="1779"/>
      <c r="E9" s="2802"/>
      <c r="F9" s="2802"/>
      <c r="G9" s="2802"/>
      <c r="H9" s="2802"/>
      <c r="I9" s="2613"/>
      <c r="J9" s="2613"/>
      <c r="K9" s="2613"/>
      <c r="L9" s="2639">
        <f>K8&amp;".1"</f>
      </c>
      <c r="M9" s="1822"/>
      <c r="N9" s="1021"/>
      <c r="O9" s="839"/>
      <c r="P9" s="839"/>
      <c r="Q9" s="2769"/>
      <c r="R9" s="2769"/>
      <c r="S9" s="2769"/>
      <c r="T9" s="869"/>
      <c r="U9" s="1848">
        <f>$L9</f>
      </c>
      <c r="V9" s="1903"/>
      <c r="W9" s="812"/>
      <c r="X9" s="837"/>
      <c r="Y9" s="1263"/>
      <c r="Z9" s="1263"/>
      <c r="AA9" s="1263"/>
      <c r="AB9" s="1917"/>
      <c r="AC9" s="2821"/>
      <c r="AD9" s="2619"/>
      <c r="AE9" s="2821"/>
      <c r="AF9" s="2619"/>
      <c r="AG9" s="1919"/>
      <c r="AH9" s="1263"/>
      <c r="AI9" s="1263"/>
      <c r="AJ9" s="1263"/>
      <c r="AK9" s="1769"/>
      <c r="AL9" s="2821"/>
      <c r="AM9" s="2619"/>
      <c r="AN9" s="2821"/>
      <c r="AO9" s="2619"/>
      <c r="AP9" s="837"/>
      <c r="AQ9" s="2765" t="s">
        <v>589</v>
      </c>
      <c r="AS9" s="1012"/>
      <c r="AT9" s="1012"/>
      <c r="AU9" s="1012"/>
      <c r="AV9" s="1012"/>
      <c r="AW9" s="1667">
        <v>0</v>
      </c>
    </row>
    <row customHeight="1" ht="14.25" hidden="1">
      <c r="A10" s="1779"/>
      <c r="B10" s="1779"/>
      <c r="C10" s="1779"/>
      <c r="D10" s="1779"/>
      <c r="E10" s="2802"/>
      <c r="F10" s="2802"/>
      <c r="G10" s="2802"/>
      <c r="H10" s="2802"/>
      <c r="I10" s="2613"/>
      <c r="J10" s="2613"/>
      <c r="K10" s="2613"/>
      <c r="L10" s="2639"/>
      <c r="M10" s="1822"/>
      <c r="N10" s="1021"/>
      <c r="O10" s="839"/>
      <c r="P10" s="839"/>
      <c r="Q10" s="2769"/>
      <c r="R10" s="2769"/>
      <c r="S10" s="2769"/>
      <c r="T10" s="869"/>
      <c r="U10" s="1854"/>
      <c r="V10" s="812"/>
      <c r="W10" s="812"/>
      <c r="X10" s="837"/>
      <c r="Y10" s="837"/>
      <c r="Z10" s="837"/>
      <c r="AA10" s="837"/>
      <c r="AB10" s="1918" t="str">
        <f>AC8&amp;"-"&amp;AE8</f>
        <v>-</v>
      </c>
      <c r="AC10" s="2821"/>
      <c r="AD10" s="2619"/>
      <c r="AE10" s="2821"/>
      <c r="AF10" s="2619"/>
      <c r="AG10" s="1894"/>
      <c r="AH10" s="837"/>
      <c r="AI10" s="837"/>
      <c r="AJ10" s="837"/>
      <c r="AK10" s="840" t="str">
        <f>AL8&amp;"-"&amp;AN8</f>
        <v>-</v>
      </c>
      <c r="AL10" s="2821"/>
      <c r="AM10" s="2619"/>
      <c r="AN10" s="2821"/>
      <c r="AO10" s="2619"/>
      <c r="AP10" s="837"/>
      <c r="AQ10" s="2766"/>
      <c r="AS10" s="1012"/>
      <c r="AT10" s="1012" t="str">
        <f>IF(V10="","",V10)</f>
        <v/>
      </c>
      <c r="AU10" s="1012"/>
      <c r="AV10" s="1012"/>
      <c r="AW10" s="1667">
        <v>0</v>
      </c>
    </row>
    <row customHeight="1" ht="11.25" hidden="1">
      <c r="A11" s="1779"/>
      <c r="B11" s="1779"/>
      <c r="C11" s="1779"/>
      <c r="D11" s="1779"/>
      <c r="E11" s="2802"/>
      <c r="F11" s="2802"/>
      <c r="G11" s="2802"/>
      <c r="H11" s="2802"/>
      <c r="I11" s="2613"/>
      <c r="J11" s="2613"/>
      <c r="K11" s="2639"/>
      <c r="L11" s="1779"/>
      <c r="M11" s="1822"/>
      <c r="N11" s="1021"/>
      <c r="O11" s="839"/>
      <c r="P11" s="839"/>
      <c r="Q11" s="2769"/>
      <c r="R11" s="2769"/>
      <c r="S11" s="2769"/>
      <c r="T11" s="869"/>
      <c r="U11" s="1790"/>
      <c r="V11" s="800" t="s">
        <v>590</v>
      </c>
      <c r="W11" s="1904"/>
      <c r="X11" s="1905"/>
      <c r="Y11" s="1905"/>
      <c r="Z11" s="1905"/>
      <c r="AA11" s="1905"/>
      <c r="AB11" s="1906"/>
      <c r="AC11" s="2821"/>
      <c r="AD11" s="2619"/>
      <c r="AE11" s="2821"/>
      <c r="AF11" s="2619"/>
      <c r="AG11" s="1905"/>
      <c r="AH11" s="1905"/>
      <c r="AI11" s="1905"/>
      <c r="AJ11" s="1905"/>
      <c r="AK11" s="1906"/>
      <c r="AL11" s="2821"/>
      <c r="AM11" s="2619"/>
      <c r="AN11" s="2821"/>
      <c r="AO11" s="2619"/>
      <c r="AP11" s="1907"/>
      <c r="AQ11" s="2766"/>
      <c r="AS11" s="1012"/>
      <c r="AT11" s="1012"/>
      <c r="AU11" s="1012"/>
      <c r="AV11" s="1012"/>
      <c r="AW11" s="1667">
        <v>0</v>
      </c>
    </row>
    <row customHeight="1" ht="15" hidden="1">
      <c r="A12" s="1779"/>
      <c r="B12" s="1779"/>
      <c r="C12" s="1779"/>
      <c r="D12" s="1779"/>
      <c r="E12" s="2802"/>
      <c r="F12" s="2802"/>
      <c r="G12" s="2802"/>
      <c r="H12" s="2802"/>
      <c r="I12" s="2613"/>
      <c r="J12" s="2639"/>
      <c r="K12" s="1779"/>
      <c r="L12" s="1779"/>
      <c r="M12" s="1822"/>
      <c r="N12" s="1021"/>
      <c r="O12" s="839"/>
      <c r="Q12" s="2769"/>
      <c r="R12" s="2769"/>
      <c r="S12" s="1843"/>
      <c r="T12" s="868"/>
      <c r="U12" s="1790"/>
      <c r="V12" s="799" t="s">
        <v>550</v>
      </c>
      <c r="W12" s="879"/>
      <c r="X12" s="879"/>
      <c r="Y12" s="879"/>
      <c r="Z12" s="879"/>
      <c r="AA12" s="879"/>
      <c r="AB12" s="879"/>
      <c r="AC12" s="1920"/>
      <c r="AD12" s="1920"/>
      <c r="AE12" s="1920"/>
      <c r="AF12" s="1920"/>
      <c r="AG12" s="879"/>
      <c r="AH12" s="879"/>
      <c r="AI12" s="879"/>
      <c r="AJ12" s="879"/>
      <c r="AK12" s="879"/>
      <c r="AL12" s="879"/>
      <c r="AM12" s="879"/>
      <c r="AN12" s="879"/>
      <c r="AO12" s="879"/>
      <c r="AP12" s="836"/>
      <c r="AQ12" s="2767"/>
      <c r="AS12" s="1012"/>
      <c r="AT12" s="1012" t="str">
        <f>IF(V12="","",V12)</f>
        <v>Добавить вид теплоносителя (параметры теплоносителя)</v>
      </c>
      <c r="AU12" s="1012"/>
      <c r="AV12" s="1012"/>
      <c r="AW12" s="1667">
        <v>0</v>
      </c>
    </row>
    <row customHeight="1" ht="11.25" hidden="1">
      <c r="A13" s="1779"/>
      <c r="B13" s="1779"/>
      <c r="C13" s="1779"/>
      <c r="D13" s="1779"/>
      <c r="E13" s="2802"/>
      <c r="F13" s="2802"/>
      <c r="G13" s="2802"/>
      <c r="H13" s="2802"/>
      <c r="I13" s="2639"/>
      <c r="J13" s="1779"/>
      <c r="K13" s="1779"/>
      <c r="L13" s="1779"/>
      <c r="M13" s="1822"/>
      <c r="N13" s="1021"/>
      <c r="Q13" s="2769"/>
      <c r="R13" s="1843"/>
      <c r="S13" s="1843"/>
      <c r="T13" s="868"/>
      <c r="U13" s="1790"/>
      <c r="V13" s="877" t="s">
        <v>551</v>
      </c>
      <c r="W13" s="879"/>
      <c r="X13" s="879"/>
      <c r="Y13" s="879"/>
      <c r="Z13" s="879"/>
      <c r="AA13" s="879"/>
      <c r="AB13" s="879"/>
      <c r="AC13" s="879"/>
      <c r="AD13" s="879"/>
      <c r="AE13" s="879"/>
      <c r="AF13" s="878"/>
      <c r="AG13" s="879"/>
      <c r="AH13" s="879"/>
      <c r="AI13" s="879"/>
      <c r="AJ13" s="879"/>
      <c r="AK13" s="879"/>
      <c r="AL13" s="879"/>
      <c r="AM13" s="879"/>
      <c r="AN13" s="879"/>
      <c r="AO13" s="878"/>
      <c r="AP13" s="879"/>
      <c r="AQ13" s="815"/>
      <c r="AS13" s="1012"/>
      <c r="AT13" s="1012" t="str">
        <f>IF(V13="","",V13)</f>
        <v>Добавить группу потребителей</v>
      </c>
      <c r="AU13" s="1012"/>
      <c r="AV13" s="1012"/>
      <c r="AW13" s="1667">
        <v>0</v>
      </c>
    </row>
    <row customHeight="1" ht="14.25" hidden="1">
      <c r="A14" s="1779"/>
      <c r="B14" s="1779"/>
      <c r="C14" s="1779"/>
      <c r="D14" s="1779"/>
      <c r="E14" s="2802"/>
      <c r="F14" s="2802"/>
      <c r="G14" s="2802"/>
      <c r="H14" s="2801"/>
      <c r="I14" s="1779"/>
      <c r="J14" s="1779"/>
      <c r="K14" s="1779"/>
      <c r="L14" s="1779"/>
      <c r="M14" s="1822"/>
      <c r="N14" s="1200"/>
      <c r="O14" s="1200"/>
      <c r="P14" s="1021"/>
      <c r="Q14" s="872"/>
      <c r="R14" s="887"/>
      <c r="S14" s="867"/>
      <c r="T14" s="872"/>
      <c r="U14" s="1898"/>
      <c r="V14" s="1899"/>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1"/>
      <c r="AS14" s="1012"/>
      <c r="AT14" s="1012" t="str">
        <f>IF(V14="","",V14)</f>
        <v/>
      </c>
      <c r="AU14" s="1012"/>
      <c r="AV14" s="1012"/>
      <c r="AW14" s="1667">
        <v>0</v>
      </c>
    </row>
    <row s="50882" customFormat="1" customHeight="1" ht="14.25" hidden="1">
      <c r="A15" s="1886"/>
      <c r="B15" s="1886"/>
      <c r="C15" s="1886"/>
      <c r="D15" s="1886"/>
      <c r="E15" s="2802"/>
      <c r="F15" s="2802"/>
      <c r="G15" s="2801"/>
      <c r="H15" s="1886"/>
      <c r="I15" s="1886"/>
      <c r="J15" s="1886"/>
      <c r="K15" s="1886"/>
      <c r="L15" s="1886"/>
      <c r="M15" s="1889"/>
      <c r="N15" s="1890"/>
      <c r="O15" s="1890"/>
      <c r="P15" s="863"/>
      <c r="Q15" s="1828"/>
      <c r="R15" s="1829"/>
      <c r="S15" s="1828"/>
      <c r="T15" s="1828"/>
      <c r="U15" s="1830"/>
      <c r="V15" s="1831" t="s">
        <v>553</v>
      </c>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S15" s="1301"/>
      <c r="AT15" s="1301" t="str">
        <f>IF(V15="","",V15)</f>
        <v>Добавить источник для дифференциации</v>
      </c>
      <c r="AU15" s="1301"/>
      <c r="AV15" s="1301"/>
      <c r="AW15" s="1030">
        <v>0</v>
      </c>
    </row>
    <row s="50882" customFormat="1" customHeight="1" ht="14.25" hidden="1">
      <c r="A16" s="1886"/>
      <c r="B16" s="1886"/>
      <c r="C16" s="1886"/>
      <c r="D16" s="1886"/>
      <c r="E16" s="2802"/>
      <c r="F16" s="2801"/>
      <c r="G16" s="1886"/>
      <c r="H16" s="1886"/>
      <c r="I16" s="1886"/>
      <c r="J16" s="1886"/>
      <c r="K16" s="1886"/>
      <c r="L16" s="1886"/>
      <c r="M16" s="1889"/>
      <c r="N16" s="1891"/>
      <c r="O16" s="1891"/>
      <c r="P16" s="863"/>
      <c r="Q16" s="1828"/>
      <c r="R16" s="1829"/>
      <c r="S16" s="1828"/>
      <c r="T16" s="1828"/>
      <c r="U16" s="1834"/>
      <c r="V16" s="1835" t="s">
        <v>290</v>
      </c>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S16" s="1301"/>
      <c r="AT16" s="1301" t="str">
        <f>IF(V16="","",V16)</f>
        <v>Добавить централизованную систему для дифференциации</v>
      </c>
      <c r="AU16" s="1301"/>
      <c r="AV16" s="1301"/>
      <c r="AW16" s="1030">
        <v>0</v>
      </c>
    </row>
    <row s="50882" customFormat="1" customHeight="1" ht="14.25" hidden="1">
      <c r="A17" s="1886"/>
      <c r="B17" s="1886"/>
      <c r="C17" s="1886"/>
      <c r="D17" s="1886"/>
      <c r="E17" s="2801"/>
      <c r="F17" s="1886"/>
      <c r="G17" s="1886"/>
      <c r="H17" s="1886"/>
      <c r="I17" s="1886"/>
      <c r="J17" s="1886"/>
      <c r="K17" s="1886"/>
      <c r="L17" s="1886"/>
      <c r="M17" s="1889"/>
      <c r="N17" s="1891"/>
      <c r="O17" s="1891"/>
      <c r="P17" s="863"/>
      <c r="Q17" s="1828"/>
      <c r="R17" s="1829"/>
      <c r="S17" s="1828"/>
      <c r="T17" s="1828"/>
      <c r="U17" s="1834"/>
      <c r="V17" s="1837" t="s">
        <v>365</v>
      </c>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S17" s="1301"/>
      <c r="AT17" s="1301" t="str">
        <f>IF(V17="","",V17)</f>
        <v>Добавить территорию для дифференциации</v>
      </c>
      <c r="AU17" s="1301"/>
      <c r="AV17" s="1301"/>
      <c r="AW17" s="1030">
        <v>0</v>
      </c>
    </row>
    <row customHeight="1" ht="14.25" hidden="1">
      <c r="AF18" s="839"/>
      <c r="AO18" s="839"/>
      <c r="AW18" s="1667">
        <v>0</v>
      </c>
    </row>
    <row customHeight="1" ht="14.25" hidden="1">
      <c r="AG19" s="1872"/>
      <c r="AH19" s="1872"/>
      <c r="AI19" s="1872"/>
      <c r="AJ19" s="1872"/>
      <c r="AK19" s="1873"/>
      <c r="AL19" s="2779"/>
      <c r="AM19" s="2780" t="s">
        <v>63</v>
      </c>
      <c r="AN19" s="2779"/>
      <c r="AO19" s="2780" t="s">
        <v>63</v>
      </c>
      <c r="AW19" s="1667">
        <v>0</v>
      </c>
    </row>
    <row customHeight="1" ht="14.25" hidden="1">
      <c r="AG20" s="1872"/>
      <c r="AH20" s="1872"/>
      <c r="AI20" s="1872"/>
      <c r="AJ20" s="1872"/>
      <c r="AK20" s="1873"/>
      <c r="AL20" s="2779"/>
      <c r="AM20" s="2780"/>
      <c r="AN20" s="2779"/>
      <c r="AO20" s="2780"/>
      <c r="AW20" s="1667">
        <v>0</v>
      </c>
    </row>
    <row customHeight="1" ht="14.25" hidden="1">
      <c r="AG21" s="1872"/>
      <c r="AH21" s="1872"/>
      <c r="AI21" s="1872"/>
      <c r="AJ21" s="1872"/>
      <c r="AK21" s="1873"/>
      <c r="AL21" s="2779"/>
      <c r="AM21" s="2780"/>
      <c r="AN21" s="2779"/>
      <c r="AO21" s="2780"/>
      <c r="AW21" s="1667">
        <v>0</v>
      </c>
    </row>
    <row customHeight="1" ht="14.25" hidden="1">
      <c r="AG22" s="1872"/>
      <c r="AH22" s="1872"/>
      <c r="AI22" s="1872"/>
      <c r="AJ22" s="1872"/>
      <c r="AK22" s="840" t="str">
        <f>AL19&amp;"-"&amp;AN19</f>
        <v>-</v>
      </c>
      <c r="AL22" s="2780"/>
      <c r="AM22" s="2780"/>
      <c r="AN22" s="2780"/>
      <c r="AO22" s="2780"/>
      <c r="AW22" s="1667">
        <v>0</v>
      </c>
    </row>
    <row customHeight="1" ht="14.25" hidden="1">
      <c r="AO23" s="839"/>
      <c r="AW23" s="1667">
        <v>0</v>
      </c>
    </row>
    <row s="50881" customFormat="1" customHeight="1" ht="22.5" hidden="1">
      <c r="A24" s="1667"/>
      <c r="B24" s="1667"/>
      <c r="C24" s="1667"/>
      <c r="D24" s="1667"/>
      <c r="E24" s="1667"/>
      <c r="F24" s="1667"/>
      <c r="G24" s="1667"/>
      <c r="H24" s="1667"/>
      <c r="I24" s="1667"/>
      <c r="J24" s="1667"/>
      <c r="K24" s="1667"/>
      <c r="L24" s="1667"/>
      <c r="M24" s="1839"/>
      <c r="N24" s="1840"/>
      <c r="O24" s="1840"/>
      <c r="P24" s="1857" t="s">
        <v>554</v>
      </c>
      <c r="Q24" s="1874"/>
      <c r="R24" s="1883"/>
      <c r="S24" s="1883"/>
      <c r="T24" s="1883"/>
      <c r="U24" s="1241"/>
      <c r="AC24" s="1879"/>
      <c r="AE24" s="1879"/>
      <c r="AF24" s="1878"/>
      <c r="AL24" s="1879"/>
      <c r="AN24" s="1879"/>
      <c r="AO24" s="1878"/>
      <c r="AR24" s="1023"/>
      <c r="AS24" s="1023"/>
      <c r="AT24" s="1023"/>
      <c r="AU24" s="1023"/>
      <c r="AV24" s="1023"/>
      <c r="AW24" s="1672">
        <v>0</v>
      </c>
    </row>
    <row s="50881" customFormat="1" customHeight="1" ht="14.25" hidden="1">
      <c r="A25" s="1667"/>
      <c r="B25" s="1667"/>
      <c r="C25" s="1667"/>
      <c r="D25" s="1667"/>
      <c r="E25" s="1667"/>
      <c r="F25" s="1667"/>
      <c r="G25" s="1667"/>
      <c r="H25" s="1667"/>
      <c r="I25" s="1667"/>
      <c r="J25" s="1667"/>
      <c r="K25" s="1667"/>
      <c r="L25" s="1667"/>
      <c r="M25" s="1839"/>
      <c r="N25" s="1840"/>
      <c r="O25" s="1840"/>
      <c r="P25" s="1840"/>
      <c r="Q25" s="1874"/>
      <c r="R25" s="1883"/>
      <c r="S25" s="1883"/>
      <c r="T25" s="1883"/>
      <c r="U25" s="1241"/>
      <c r="AF25" s="1878"/>
      <c r="AO25" s="1878"/>
      <c r="AR25" s="1023"/>
      <c r="AS25" s="1023"/>
      <c r="AT25" s="1023"/>
      <c r="AU25" s="1023"/>
      <c r="AV25" s="1023"/>
      <c r="AW25" s="1672">
        <v>0</v>
      </c>
    </row>
    <row s="50881" customFormat="1" customHeight="1" ht="14.25" hidden="1">
      <c r="A26" s="1667"/>
      <c r="B26" s="1667"/>
      <c r="C26" s="1667"/>
      <c r="D26" s="1667"/>
      <c r="E26" s="1667"/>
      <c r="F26" s="1667"/>
      <c r="G26" s="1667"/>
      <c r="H26" s="1667"/>
      <c r="I26" s="1667"/>
      <c r="J26" s="1667"/>
      <c r="K26" s="1667"/>
      <c r="L26" s="1667"/>
      <c r="M26" s="1839"/>
      <c r="N26" s="1840"/>
      <c r="O26" s="1840"/>
      <c r="P26" s="1822" t="s">
        <v>555</v>
      </c>
      <c r="Q26" s="1874"/>
      <c r="R26" s="1883"/>
      <c r="S26" s="1883"/>
      <c r="T26" s="1883"/>
      <c r="U26" s="1241"/>
      <c r="V26" s="1672" t="s">
        <v>556</v>
      </c>
      <c r="AD26" s="698" t="s">
        <v>557</v>
      </c>
      <c r="AF26" s="698" t="s">
        <v>558</v>
      </c>
      <c r="AG26" s="1672" t="s">
        <v>556</v>
      </c>
      <c r="AM26" s="698" t="s">
        <v>559</v>
      </c>
      <c r="AO26" s="698" t="s">
        <v>558</v>
      </c>
      <c r="AR26" s="1023"/>
      <c r="AS26" s="1023"/>
      <c r="AT26" s="1023"/>
      <c r="AU26" s="1023"/>
      <c r="AV26" s="1023"/>
      <c r="AW26" s="1672">
        <v>0</v>
      </c>
    </row>
    <row customHeight="1" ht="14.25" hidden="1">
      <c r="P27" s="1822"/>
      <c r="AW27" s="1667">
        <v>0</v>
      </c>
    </row>
    <row customHeight="1" ht="14.25" hidden="1">
      <c r="P28" s="1822"/>
      <c r="AW28" s="1667">
        <v>0</v>
      </c>
    </row>
    <row customHeight="1" ht="14.699999999999998">
      <c r="R29" s="888"/>
      <c r="S29" s="888"/>
      <c r="T29" s="888"/>
      <c r="U29" s="1787"/>
      <c r="V29" s="875"/>
      <c r="W29" s="875"/>
      <c r="X29" s="1021"/>
      <c r="Y29" s="1021"/>
      <c r="Z29" s="1021"/>
      <c r="AA29" s="1021"/>
      <c r="AB29" s="1021"/>
      <c r="AC29" s="1021"/>
      <c r="AD29" s="1021"/>
      <c r="AE29" s="1021"/>
      <c r="AF29" s="1021"/>
      <c r="AG29" s="1021"/>
      <c r="AH29" s="1021"/>
      <c r="AI29" s="1021"/>
      <c r="AJ29" s="1021"/>
      <c r="AK29" s="1021"/>
      <c r="AL29" s="1021"/>
      <c r="AM29" s="1021"/>
      <c r="AN29" s="1021"/>
      <c r="AO29" s="1021"/>
      <c r="AW29" s="1667">
        <v>14</v>
      </c>
    </row>
    <row customHeight="1" ht="56.699999999999996">
      <c r="R30" s="888"/>
      <c r="S30" s="888"/>
      <c r="T30" s="888"/>
      <c r="U30" s="276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60"/>
      <c r="W30" s="2760"/>
      <c r="X30" s="2760"/>
      <c r="Y30" s="2760"/>
      <c r="Z30" s="2760"/>
      <c r="AA30" s="2760"/>
      <c r="AB30" s="2760"/>
      <c r="AC30" s="2760"/>
      <c r="AD30" s="2760"/>
      <c r="AE30" s="2760"/>
      <c r="AF30" s="2760"/>
      <c r="AG30" s="2760"/>
      <c r="AH30" s="2760"/>
      <c r="AI30" s="2760"/>
      <c r="AJ30" s="2760"/>
      <c r="AK30" s="2760"/>
      <c r="AL30" s="2760"/>
      <c r="AM30" s="2760"/>
      <c r="AN30" s="2760"/>
      <c r="AO30" s="1755"/>
      <c r="AW30" s="1667">
        <v>54</v>
      </c>
    </row>
    <row customHeight="1" ht="14.699999999999998">
      <c r="R31" s="888"/>
      <c r="S31" s="888"/>
      <c r="T31" s="888"/>
      <c r="U31" s="2761" t="str">
        <f>IF(org=0,"Не определено",org)</f>
        <v>КГУП "Примтеплоэнерго"</v>
      </c>
      <c r="V31" s="2761"/>
      <c r="W31" s="2761"/>
      <c r="X31" s="2761"/>
      <c r="Y31" s="2761"/>
      <c r="Z31" s="2761"/>
      <c r="AA31" s="2761"/>
      <c r="AB31" s="2761"/>
      <c r="AC31" s="2761"/>
      <c r="AD31" s="2761"/>
      <c r="AE31" s="2761"/>
      <c r="AF31" s="2761"/>
      <c r="AG31" s="2761"/>
      <c r="AH31" s="2761"/>
      <c r="AI31" s="2761"/>
      <c r="AJ31" s="2761"/>
      <c r="AK31" s="2761"/>
      <c r="AL31" s="2761"/>
      <c r="AM31" s="2761"/>
      <c r="AN31" s="2761"/>
      <c r="AO31" s="1755"/>
      <c r="AW31" s="1667">
        <v>14</v>
      </c>
    </row>
    <row customHeight="1" ht="14.25">
      <c r="R32" s="888"/>
      <c r="S32" s="888"/>
      <c r="T32" s="888"/>
      <c r="U32" s="1787"/>
      <c r="V32" s="875"/>
      <c r="W32" s="875"/>
      <c r="X32" s="834"/>
      <c r="Y32" s="834"/>
      <c r="Z32" s="834"/>
      <c r="AA32" s="834"/>
      <c r="AB32" s="834"/>
      <c r="AC32" s="834"/>
      <c r="AD32" s="834"/>
      <c r="AE32" s="834"/>
      <c r="AF32" s="834"/>
      <c r="AG32" s="834"/>
      <c r="AH32" s="834"/>
      <c r="AI32" s="834"/>
      <c r="AJ32" s="834"/>
      <c r="AK32" s="834"/>
      <c r="AL32" s="834"/>
      <c r="AM32" s="834"/>
      <c r="AN32" s="834"/>
      <c r="AO32" s="834"/>
      <c r="AP32" s="1021"/>
      <c r="AW32" s="1667">
        <v>0</v>
      </c>
    </row>
    <row s="51018" customFormat="1" customHeight="1" ht="25.5">
      <c r="A33" s="1760"/>
      <c r="B33" s="1760"/>
      <c r="C33" s="1760"/>
      <c r="D33" s="1760"/>
      <c r="E33" s="1760"/>
      <c r="F33" s="1760"/>
      <c r="G33" s="1760"/>
      <c r="H33" s="1760"/>
      <c r="I33" s="1760"/>
      <c r="J33" s="1760"/>
      <c r="K33" s="1760"/>
      <c r="L33" s="1760"/>
      <c r="M33" s="1892"/>
      <c r="N33" s="1760"/>
      <c r="O33" s="1760"/>
      <c r="P33" s="1760"/>
      <c r="U33" s="2762" t="s">
        <v>42</v>
      </c>
      <c r="V33" s="2762"/>
      <c r="W33" s="1884"/>
      <c r="X33" s="2763" t="str">
        <f>IF(TITLE_NAME_OR_PR_CHANGE="",IF(TITLE_NAME_OR_PR="","",TITLE_NAME_OR_PR),TITLE_NAME_OR_PR_CHANGE)</f>
        <v>Агентство по тарифам Приморского края</v>
      </c>
      <c r="Y33" s="2763"/>
      <c r="Z33" s="2763"/>
      <c r="AA33" s="2763"/>
      <c r="AB33" s="2763"/>
      <c r="AC33" s="2763"/>
      <c r="AD33" s="2763"/>
      <c r="AE33" s="2763"/>
      <c r="AF33" s="838"/>
      <c r="AG33" s="2763" t="str">
        <f>IF(TITLE_NAME_OR_PR_CHANGE="",IF(TITLE_NAME_OR_PR="","",TITLE_NAME_OR_PR),TITLE_NAME_OR_PR_CHANGE)</f>
        <v>Агентство по тарифам Приморского края</v>
      </c>
      <c r="AH33" s="2763"/>
      <c r="AI33" s="2763"/>
      <c r="AJ33" s="2763"/>
      <c r="AK33" s="2763"/>
      <c r="AL33" s="2763"/>
      <c r="AM33" s="2763"/>
      <c r="AN33" s="2763"/>
      <c r="AO33" s="838"/>
      <c r="AP33" s="838"/>
      <c r="AQ33" s="792"/>
      <c r="AR33" s="880"/>
      <c r="AS33" s="880"/>
      <c r="AT33" s="880"/>
      <c r="AU33" s="880"/>
      <c r="AV33" s="880"/>
      <c r="AW33" s="930">
        <v>0</v>
      </c>
    </row>
    <row s="51018" customFormat="1" customHeight="1" ht="18.75">
      <c r="A34" s="1760"/>
      <c r="B34" s="1760"/>
      <c r="C34" s="1760"/>
      <c r="D34" s="1760"/>
      <c r="E34" s="1760"/>
      <c r="F34" s="1760"/>
      <c r="G34" s="1760"/>
      <c r="H34" s="1760"/>
      <c r="I34" s="1760"/>
      <c r="J34" s="1760"/>
      <c r="K34" s="1760"/>
      <c r="L34" s="1760"/>
      <c r="M34" s="1892"/>
      <c r="N34" s="1760"/>
      <c r="O34" s="1760"/>
      <c r="P34" s="1760"/>
      <c r="U34" s="2762" t="s">
        <v>560</v>
      </c>
      <c r="V34" s="2762"/>
      <c r="W34" s="1884"/>
      <c r="X34" s="2776" t="str">
        <f>IF(TITLE_DATE_PR_CHANGE="",IF(TITLE_DATE_PR="","",TITLE_DATE_PR),TITLE_DATE_PR_CHANGE)</f>
        <v>45631.710694444446</v>
      </c>
      <c r="Y34" s="2776"/>
      <c r="Z34" s="2776"/>
      <c r="AA34" s="2776"/>
      <c r="AB34" s="2776"/>
      <c r="AC34" s="2776"/>
      <c r="AD34" s="2776"/>
      <c r="AE34" s="2776"/>
      <c r="AF34" s="838"/>
      <c r="AG34" s="2776" t="str">
        <f>IF(TITLE_DATE_PR_CHANGE="",IF(TITLE_DATE_PR="","",TITLE_DATE_PR),TITLE_DATE_PR_CHANGE)</f>
        <v>45631.710694444446</v>
      </c>
      <c r="AH34" s="2776"/>
      <c r="AI34" s="2776"/>
      <c r="AJ34" s="2776"/>
      <c r="AK34" s="2776"/>
      <c r="AL34" s="2776"/>
      <c r="AM34" s="2776"/>
      <c r="AN34" s="2776"/>
      <c r="AO34" s="838"/>
      <c r="AP34" s="838"/>
      <c r="AQ34" s="792"/>
      <c r="AR34" s="880"/>
      <c r="AS34" s="880"/>
      <c r="AT34" s="880"/>
      <c r="AU34" s="880"/>
      <c r="AV34" s="880"/>
      <c r="AW34" s="930">
        <v>0</v>
      </c>
    </row>
    <row s="51018" customFormat="1" customHeight="1" ht="18.75">
      <c r="A35" s="1760"/>
      <c r="B35" s="1760"/>
      <c r="C35" s="1760"/>
      <c r="D35" s="1760"/>
      <c r="E35" s="1760"/>
      <c r="F35" s="1760"/>
      <c r="G35" s="1760"/>
      <c r="H35" s="1760"/>
      <c r="I35" s="1760"/>
      <c r="J35" s="1760"/>
      <c r="K35" s="1760"/>
      <c r="L35" s="1760"/>
      <c r="M35" s="1892"/>
      <c r="N35" s="1760"/>
      <c r="O35" s="1760"/>
      <c r="P35" s="1760"/>
      <c r="U35" s="2762" t="s">
        <v>561</v>
      </c>
      <c r="V35" s="2762"/>
      <c r="W35" s="1884"/>
      <c r="X35" s="2763" t="str">
        <f>IF(TITLE_NUMBER_PR_CHANGE="",IF(TITLE_NUMBER_PR="","",TITLE_NUMBER_PR),TITLE_NUMBER_PR_CHANGE)</f>
        <v>53/9</v>
      </c>
      <c r="Y35" s="2763"/>
      <c r="Z35" s="2763"/>
      <c r="AA35" s="2763"/>
      <c r="AB35" s="2763"/>
      <c r="AC35" s="2763"/>
      <c r="AD35" s="2763"/>
      <c r="AE35" s="2763"/>
      <c r="AF35" s="838"/>
      <c r="AG35" s="2763" t="str">
        <f>IF(TITLE_NUMBER_PR_CHANGE="",IF(TITLE_NUMBER_PR="","",TITLE_NUMBER_PR),TITLE_NUMBER_PR_CHANGE)</f>
        <v>53/9</v>
      </c>
      <c r="AH35" s="2763"/>
      <c r="AI35" s="2763"/>
      <c r="AJ35" s="2763"/>
      <c r="AK35" s="2763"/>
      <c r="AL35" s="2763"/>
      <c r="AM35" s="2763"/>
      <c r="AN35" s="2763"/>
      <c r="AO35" s="838"/>
      <c r="AP35" s="838"/>
      <c r="AQ35" s="792"/>
      <c r="AR35" s="880"/>
      <c r="AS35" s="880"/>
      <c r="AT35" s="880"/>
      <c r="AU35" s="880"/>
      <c r="AV35" s="880"/>
      <c r="AW35" s="930">
        <v>0</v>
      </c>
    </row>
    <row s="51018" customFormat="1" customHeight="1" ht="18.75">
      <c r="A36" s="1760"/>
      <c r="B36" s="1760"/>
      <c r="C36" s="1760"/>
      <c r="D36" s="1760"/>
      <c r="E36" s="1760"/>
      <c r="F36" s="1760"/>
      <c r="G36" s="1760"/>
      <c r="H36" s="1760"/>
      <c r="I36" s="1760"/>
      <c r="J36" s="1760"/>
      <c r="K36" s="1760"/>
      <c r="L36" s="1760"/>
      <c r="M36" s="1892"/>
      <c r="N36" s="1760"/>
      <c r="O36" s="1760"/>
      <c r="P36" s="1760"/>
      <c r="U36" s="2762" t="s">
        <v>44</v>
      </c>
      <c r="V36" s="2762"/>
      <c r="W36" s="1884"/>
      <c r="X36" s="2763" t="str">
        <f>IF(TITLE_IST_PUB_CHANGE="",IF(TITLE_IST_PUB="","",TITLE_IST_PUB),TITLE_IST_PUB_CHANGE)</f>
        <v>http://pravo.gov.ru</v>
      </c>
      <c r="Y36" s="2763"/>
      <c r="Z36" s="2763"/>
      <c r="AA36" s="2763"/>
      <c r="AB36" s="2763"/>
      <c r="AC36" s="2763"/>
      <c r="AD36" s="2763"/>
      <c r="AE36" s="2763"/>
      <c r="AF36" s="838"/>
      <c r="AG36" s="2763" t="str">
        <f>IF(TITLE_IST_PUB_CHANGE="",IF(TITLE_IST_PUB="","",TITLE_IST_PUB),TITLE_IST_PUB_CHANGE)</f>
        <v>http://pravo.gov.ru</v>
      </c>
      <c r="AH36" s="2763"/>
      <c r="AI36" s="2763"/>
      <c r="AJ36" s="2763"/>
      <c r="AK36" s="2763"/>
      <c r="AL36" s="2763"/>
      <c r="AM36" s="2763"/>
      <c r="AN36" s="2763"/>
      <c r="AO36" s="838"/>
      <c r="AP36" s="838"/>
      <c r="AQ36" s="792"/>
      <c r="AR36" s="880"/>
      <c r="AS36" s="880"/>
      <c r="AT36" s="880"/>
      <c r="AU36" s="880"/>
      <c r="AV36" s="880"/>
      <c r="AW36" s="930">
        <v>0</v>
      </c>
    </row>
    <row customHeight="1" ht="14.25" hidden="1">
      <c r="R37" s="888"/>
      <c r="S37" s="888"/>
      <c r="T37" s="888"/>
      <c r="U37" s="1787"/>
      <c r="V37" s="875"/>
      <c r="W37" s="875"/>
      <c r="X37" s="834"/>
      <c r="Y37" s="834"/>
      <c r="Z37" s="834"/>
      <c r="AA37" s="834"/>
      <c r="AB37" s="834"/>
      <c r="AC37" s="834"/>
      <c r="AD37" s="834"/>
      <c r="AE37" s="834"/>
      <c r="AF37" s="834"/>
      <c r="AG37" s="834"/>
      <c r="AH37" s="834"/>
      <c r="AI37" s="834"/>
      <c r="AJ37" s="834"/>
      <c r="AK37" s="834"/>
      <c r="AL37" s="834"/>
      <c r="AM37" s="834"/>
      <c r="AN37" s="834"/>
      <c r="AO37" s="834"/>
      <c r="AP37" s="1021"/>
      <c r="AW37" s="1667">
        <v>0</v>
      </c>
    </row>
    <row s="51018" customFormat="1" customHeight="1" ht="18.75" hidden="1">
      <c r="A38" s="1760"/>
      <c r="B38" s="1760"/>
      <c r="C38" s="1760"/>
      <c r="D38" s="1760"/>
      <c r="E38" s="1760"/>
      <c r="F38" s="1760"/>
      <c r="G38" s="1760"/>
      <c r="H38" s="1760"/>
      <c r="I38" s="1760"/>
      <c r="J38" s="1760"/>
      <c r="K38" s="1760"/>
      <c r="L38" s="1760"/>
      <c r="M38" s="1892"/>
      <c r="N38" s="1760"/>
      <c r="O38" s="1760"/>
      <c r="P38" s="1760"/>
      <c r="U38" s="2762" t="s">
        <v>562</v>
      </c>
      <c r="V38" s="2762"/>
      <c r="W38" s="1884"/>
      <c r="X38" s="2776" t="str">
        <f>IF(TITLE_DATE_PR_CHANGE="",IF(TITLE_DATE_PR="","",TITLE_DATE_PR),TITLE_DATE_PR_CHANGE)</f>
        <v>45631.710694444446</v>
      </c>
      <c r="Y38" s="2776"/>
      <c r="Z38" s="2776"/>
      <c r="AA38" s="2776"/>
      <c r="AB38" s="2776"/>
      <c r="AC38" s="2776"/>
      <c r="AD38" s="2776"/>
      <c r="AE38" s="2776"/>
      <c r="AF38" s="838"/>
      <c r="AG38" s="2776" t="str">
        <f>IF(TITLE_DATE_PR_CHANGE="",IF(TITLE_DATE_PR="","",TITLE_DATE_PR),TITLE_DATE_PR_CHANGE)</f>
        <v>45631.710694444446</v>
      </c>
      <c r="AH38" s="2776"/>
      <c r="AI38" s="2776"/>
      <c r="AJ38" s="2776"/>
      <c r="AK38" s="2776"/>
      <c r="AL38" s="2776"/>
      <c r="AM38" s="2776"/>
      <c r="AN38" s="2776"/>
      <c r="AO38" s="838"/>
      <c r="AP38" s="838"/>
      <c r="AQ38" s="792"/>
      <c r="AR38" s="880"/>
      <c r="AS38" s="880"/>
      <c r="AT38" s="880"/>
      <c r="AU38" s="880"/>
      <c r="AV38" s="880"/>
      <c r="AW38" s="930">
        <v>0</v>
      </c>
    </row>
    <row s="51018" customFormat="1" customHeight="1" ht="18.75" hidden="1">
      <c r="A39" s="1760"/>
      <c r="B39" s="1760"/>
      <c r="C39" s="1760"/>
      <c r="D39" s="1760"/>
      <c r="E39" s="1760"/>
      <c r="F39" s="1760"/>
      <c r="G39" s="1760"/>
      <c r="H39" s="1760"/>
      <c r="I39" s="1760"/>
      <c r="J39" s="1760"/>
      <c r="K39" s="1760"/>
      <c r="L39" s="1760"/>
      <c r="M39" s="1892"/>
      <c r="N39" s="1760"/>
      <c r="O39" s="1760"/>
      <c r="P39" s="1760"/>
      <c r="U39" s="2762" t="s">
        <v>563</v>
      </c>
      <c r="V39" s="2762"/>
      <c r="W39" s="1884"/>
      <c r="X39" s="2763" t="str">
        <f>IF(TITLE_NUMBER_PR_CHANGE="",IF(TITLE_NUMBER_PR="","",TITLE_NUMBER_PR),TITLE_NUMBER_PR_CHANGE)</f>
        <v>53/9</v>
      </c>
      <c r="Y39" s="2763"/>
      <c r="Z39" s="2763"/>
      <c r="AA39" s="2763"/>
      <c r="AB39" s="2763"/>
      <c r="AC39" s="2763"/>
      <c r="AD39" s="2763"/>
      <c r="AE39" s="2763"/>
      <c r="AF39" s="838"/>
      <c r="AG39" s="2763" t="str">
        <f>IF(TITLE_NUMBER_PR_CHANGE="",IF(TITLE_NUMBER_PR="","",TITLE_NUMBER_PR),TITLE_NUMBER_PR_CHANGE)</f>
        <v>53/9</v>
      </c>
      <c r="AH39" s="2763"/>
      <c r="AI39" s="2763"/>
      <c r="AJ39" s="2763"/>
      <c r="AK39" s="2763"/>
      <c r="AL39" s="2763"/>
      <c r="AM39" s="2763"/>
      <c r="AN39" s="2763"/>
      <c r="AO39" s="838"/>
      <c r="AP39" s="838"/>
      <c r="AQ39" s="792"/>
      <c r="AR39" s="880"/>
      <c r="AS39" s="880"/>
      <c r="AT39" s="880"/>
      <c r="AU39" s="880"/>
      <c r="AV39" s="880"/>
      <c r="AW39" s="930">
        <v>0</v>
      </c>
    </row>
    <row s="51018" customFormat="1" customHeight="1" ht="0">
      <c r="A40" s="1760"/>
      <c r="B40" s="1760"/>
      <c r="C40" s="1760"/>
      <c r="D40" s="1760"/>
      <c r="E40" s="1760"/>
      <c r="F40" s="1760"/>
      <c r="G40" s="1760"/>
      <c r="H40" s="1760"/>
      <c r="I40" s="1760"/>
      <c r="J40" s="1760"/>
      <c r="K40" s="1760"/>
      <c r="L40" s="1760"/>
      <c r="M40" s="1892"/>
      <c r="N40" s="1760"/>
      <c r="O40" s="1760"/>
      <c r="P40" s="1760"/>
      <c r="U40" s="835"/>
      <c r="V40" s="835"/>
      <c r="W40" s="1852"/>
      <c r="X40" s="838"/>
      <c r="Y40" s="838"/>
      <c r="Z40" s="838"/>
      <c r="AA40" s="838"/>
      <c r="AB40" s="838"/>
      <c r="AC40" s="838"/>
      <c r="AD40" s="838"/>
      <c r="AE40" s="838"/>
      <c r="AF40" s="790" t="s">
        <v>564</v>
      </c>
      <c r="AG40" s="838"/>
      <c r="AH40" s="838"/>
      <c r="AI40" s="838"/>
      <c r="AJ40" s="838"/>
      <c r="AK40" s="838"/>
      <c r="AL40" s="838"/>
      <c r="AM40" s="838"/>
      <c r="AN40" s="838"/>
      <c r="AO40" s="790" t="s">
        <v>564</v>
      </c>
      <c r="AR40" s="880"/>
      <c r="AS40" s="880"/>
      <c r="AT40" s="880"/>
      <c r="AU40" s="880"/>
      <c r="AV40" s="880"/>
      <c r="AW40" s="930">
        <v>0</v>
      </c>
    </row>
    <row customHeight="1" ht="14.699999999999998">
      <c r="R41" s="888"/>
      <c r="S41" s="888"/>
      <c r="T41" s="888"/>
      <c r="U41" s="1787"/>
      <c r="V41" s="875"/>
      <c r="W41" s="1756"/>
      <c r="X41" s="2764"/>
      <c r="Y41" s="2764"/>
      <c r="Z41" s="2764"/>
      <c r="AA41" s="2764"/>
      <c r="AB41" s="2764"/>
      <c r="AC41" s="2764"/>
      <c r="AD41" s="2764"/>
      <c r="AE41" s="2764"/>
      <c r="AF41" s="2764"/>
      <c r="AG41" s="2764"/>
      <c r="AH41" s="2764"/>
      <c r="AI41" s="2764"/>
      <c r="AJ41" s="2764"/>
      <c r="AK41" s="2764"/>
      <c r="AL41" s="2764"/>
      <c r="AM41" s="2764"/>
      <c r="AN41" s="2764"/>
      <c r="AO41" s="2764"/>
      <c r="AW41" s="1667">
        <v>14</v>
      </c>
    </row>
    <row customHeight="1" ht="14.699999999999998">
      <c r="R42" s="888"/>
      <c r="S42" s="888"/>
      <c r="T42" s="888"/>
      <c r="U42" s="2639" t="s">
        <v>439</v>
      </c>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t="s">
        <v>440</v>
      </c>
      <c r="AW42" s="1667">
        <v>14</v>
      </c>
    </row>
    <row customHeight="1" ht="14.699999999999998">
      <c r="R43" s="888"/>
      <c r="S43" s="888"/>
      <c r="T43" s="888"/>
      <c r="U43" s="2785" t="s">
        <v>90</v>
      </c>
      <c r="V43" s="2721" t="s">
        <v>565</v>
      </c>
      <c r="W43" s="813"/>
      <c r="X43" s="2786" t="s">
        <v>566</v>
      </c>
      <c r="Y43" s="2803"/>
      <c r="Z43" s="2803"/>
      <c r="AA43" s="2803"/>
      <c r="AB43" s="2803"/>
      <c r="AC43" s="2787"/>
      <c r="AD43" s="2787"/>
      <c r="AE43" s="2788"/>
      <c r="AF43" s="2789" t="s">
        <v>567</v>
      </c>
      <c r="AG43" s="2786" t="s">
        <v>566</v>
      </c>
      <c r="AH43" s="2803"/>
      <c r="AI43" s="2803"/>
      <c r="AJ43" s="2803"/>
      <c r="AK43" s="2803"/>
      <c r="AL43" s="2787"/>
      <c r="AM43" s="2787"/>
      <c r="AN43" s="2788"/>
      <c r="AO43" s="2789" t="s">
        <v>568</v>
      </c>
      <c r="AP43" s="2792" t="s">
        <v>569</v>
      </c>
      <c r="AQ43" s="2639"/>
      <c r="AW43" s="1667">
        <v>14</v>
      </c>
    </row>
    <row customHeight="1" ht="35.699999999999996">
      <c r="R44" s="888"/>
      <c r="S44" s="888"/>
      <c r="T44" s="888"/>
      <c r="U44" s="2785"/>
      <c r="V44" s="2721"/>
      <c r="W44" s="1543"/>
      <c r="X44" s="2806" t="s">
        <v>591</v>
      </c>
      <c r="Y44" s="2824" t="s">
        <v>592</v>
      </c>
      <c r="Z44" s="2824"/>
      <c r="AA44" s="2824"/>
      <c r="AB44" s="2824"/>
      <c r="AC44" s="2806" t="s">
        <v>573</v>
      </c>
      <c r="AD44" s="3123"/>
      <c r="AE44" s="2826"/>
      <c r="AF44" s="2790"/>
      <c r="AG44" s="2806" t="s">
        <v>591</v>
      </c>
      <c r="AH44" s="2824" t="s">
        <v>592</v>
      </c>
      <c r="AI44" s="2824"/>
      <c r="AJ44" s="2824"/>
      <c r="AK44" s="2824"/>
      <c r="AL44" s="2806" t="s">
        <v>573</v>
      </c>
      <c r="AM44" s="3123"/>
      <c r="AN44" s="2826"/>
      <c r="AO44" s="2790"/>
      <c r="AP44" s="2793"/>
      <c r="AQ44" s="2639"/>
      <c r="AW44" s="1667">
        <v>34</v>
      </c>
    </row>
    <row customHeight="1" ht="14.699999999999998">
      <c r="R45" s="888"/>
      <c r="S45" s="888"/>
      <c r="T45" s="888"/>
      <c r="U45" s="2785"/>
      <c r="V45" s="2721"/>
      <c r="W45" s="1543"/>
      <c r="X45" s="2837"/>
      <c r="Y45" s="2829" t="s">
        <v>593</v>
      </c>
      <c r="Z45" s="2782" t="s">
        <v>594</v>
      </c>
      <c r="AA45" s="2832"/>
      <c r="AB45" s="2783"/>
      <c r="AC45" s="2807"/>
      <c r="AD45" s="3124"/>
      <c r="AE45" s="2828"/>
      <c r="AF45" s="2790"/>
      <c r="AG45" s="2837"/>
      <c r="AH45" s="2829" t="s">
        <v>593</v>
      </c>
      <c r="AI45" s="2782" t="s">
        <v>594</v>
      </c>
      <c r="AJ45" s="2832"/>
      <c r="AK45" s="2783"/>
      <c r="AL45" s="2807"/>
      <c r="AM45" s="3124"/>
      <c r="AN45" s="2828"/>
      <c r="AO45" s="2790"/>
      <c r="AP45" s="2793"/>
      <c r="AQ45" s="2639"/>
      <c r="AW45" s="1667">
        <v>14</v>
      </c>
    </row>
    <row customHeight="1" ht="27.299999999999997">
      <c r="R46" s="888"/>
      <c r="S46" s="888"/>
      <c r="T46" s="888"/>
      <c r="U46" s="2785"/>
      <c r="V46" s="2721"/>
      <c r="W46" s="1543"/>
      <c r="X46" s="2837"/>
      <c r="Y46" s="2830"/>
      <c r="Z46" s="2829" t="s">
        <v>595</v>
      </c>
      <c r="AA46" s="2782" t="s">
        <v>596</v>
      </c>
      <c r="AB46" s="2783"/>
      <c r="AC46" s="2829" t="s">
        <v>583</v>
      </c>
      <c r="AD46" s="2833" t="s">
        <v>584</v>
      </c>
      <c r="AE46" s="2834"/>
      <c r="AF46" s="2790"/>
      <c r="AG46" s="2837"/>
      <c r="AH46" s="2830"/>
      <c r="AI46" s="2829" t="s">
        <v>595</v>
      </c>
      <c r="AJ46" s="2782" t="s">
        <v>596</v>
      </c>
      <c r="AK46" s="2783"/>
      <c r="AL46" s="2829" t="s">
        <v>583</v>
      </c>
      <c r="AM46" s="2833" t="s">
        <v>584</v>
      </c>
      <c r="AN46" s="2834"/>
      <c r="AO46" s="2790"/>
      <c r="AP46" s="2793"/>
      <c r="AQ46" s="2639"/>
      <c r="AW46" s="1667">
        <v>26</v>
      </c>
    </row>
    <row customHeight="1" ht="65.25">
      <c r="A47" s="1771"/>
      <c r="B47" s="1771" t="s">
        <v>201</v>
      </c>
      <c r="C47" s="1771" t="s">
        <v>202</v>
      </c>
      <c r="D47" s="1771" t="s">
        <v>203</v>
      </c>
      <c r="E47" s="1822" t="s">
        <v>574</v>
      </c>
      <c r="F47" s="1822" t="s">
        <v>575</v>
      </c>
      <c r="G47" s="1822" t="s">
        <v>576</v>
      </c>
      <c r="H47" s="1822" t="s">
        <v>577</v>
      </c>
      <c r="I47" s="1822" t="s">
        <v>578</v>
      </c>
      <c r="J47" s="1822" t="s">
        <v>579</v>
      </c>
      <c r="K47" s="1822" t="s">
        <v>580</v>
      </c>
      <c r="L47" s="1822" t="s">
        <v>597</v>
      </c>
      <c r="M47" s="1822" t="s">
        <v>555</v>
      </c>
      <c r="R47" s="888"/>
      <c r="S47" s="888"/>
      <c r="T47" s="888"/>
      <c r="U47" s="2785"/>
      <c r="V47" s="2721"/>
      <c r="W47" s="814"/>
      <c r="X47" s="2807"/>
      <c r="Y47" s="2831"/>
      <c r="Z47" s="2831"/>
      <c r="AA47" s="1734" t="s">
        <v>598</v>
      </c>
      <c r="AB47" s="1734" t="s">
        <v>599</v>
      </c>
      <c r="AC47" s="2831"/>
      <c r="AD47" s="2835"/>
      <c r="AE47" s="2836"/>
      <c r="AF47" s="2791"/>
      <c r="AG47" s="2807"/>
      <c r="AH47" s="2831"/>
      <c r="AI47" s="2831"/>
      <c r="AJ47" s="1734" t="s">
        <v>598</v>
      </c>
      <c r="AK47" s="1734" t="s">
        <v>599</v>
      </c>
      <c r="AL47" s="2831"/>
      <c r="AM47" s="2835"/>
      <c r="AN47" s="2836"/>
      <c r="AO47" s="2791"/>
      <c r="AP47" s="2794"/>
      <c r="AQ47" s="2639"/>
      <c r="AW47" s="1667">
        <v>62</v>
      </c>
    </row>
    <row s="51564" customFormat="1" customHeight="1" ht="11.25" hidden="1">
      <c r="A48" s="1771"/>
      <c r="B48" s="1771"/>
      <c r="C48" s="1771"/>
      <c r="D48" s="1771"/>
      <c r="E48" s="1771"/>
      <c r="F48" s="1771"/>
      <c r="G48" s="1771"/>
      <c r="H48" s="1771"/>
      <c r="I48" s="1771"/>
      <c r="J48" s="1771"/>
      <c r="K48" s="1771"/>
      <c r="L48" s="1771"/>
      <c r="M48" s="1822"/>
      <c r="N48" s="1840"/>
      <c r="O48" s="1840"/>
      <c r="P48" s="1840"/>
      <c r="Q48" s="1758"/>
      <c r="R48" s="1759"/>
      <c r="S48" s="1766">
        <v>1</v>
      </c>
      <c r="T48" s="1766"/>
      <c r="U48" s="1789" t="s">
        <v>101</v>
      </c>
      <c r="V48" s="1767" t="s">
        <v>105</v>
      </c>
      <c r="W48" s="1757" t="str">
        <f>OFFSET(W48,0,-1)</f>
        <v>2</v>
      </c>
      <c r="X48" s="1847">
        <f>OFFSET(X48,0,-1)+1</f>
        <v>3</v>
      </c>
      <c r="Y48" s="1853"/>
      <c r="Z48" s="1853"/>
      <c r="AA48" s="1853">
        <f>OFFSET(AA48,0,-1)+1</f>
        <v>1</v>
      </c>
      <c r="AB48" s="1853">
        <f>OFFSET(AB48,0,-1)+1</f>
        <v>2</v>
      </c>
      <c r="AC48" s="1847">
        <f>OFFSET(AC48,0,-1)+1</f>
        <v>3</v>
      </c>
      <c r="AD48" s="2784">
        <f>OFFSET(AD48,0,-1)+1</f>
        <v>4</v>
      </c>
      <c r="AE48" s="2784"/>
      <c r="AF48" s="1847">
        <f>OFFSET(AF48,0,-2)+1</f>
        <v>5</v>
      </c>
      <c r="AG48" s="1847">
        <f>OFFSET(AG48,0,-1)+1</f>
        <v>6</v>
      </c>
      <c r="AH48" s="1847"/>
      <c r="AI48" s="1847"/>
      <c r="AJ48" s="1847">
        <f>OFFSET(AJ48,0,-1)+1</f>
        <v>1</v>
      </c>
      <c r="AK48" s="1847">
        <f>OFFSET(AK48,0,-1)+1</f>
        <v>2</v>
      </c>
      <c r="AL48" s="1847">
        <f>OFFSET(AL48,0,-1)+1</f>
        <v>3</v>
      </c>
      <c r="AM48" s="2784">
        <f>OFFSET(AM48,0,-1)+1</f>
        <v>4</v>
      </c>
      <c r="AN48" s="2784"/>
      <c r="AO48" s="1847">
        <f>OFFSET(AO48,0,-2)+1</f>
        <v>5</v>
      </c>
      <c r="AP48" s="1757">
        <f>OFFSET(AP48,0,-1)</f>
        <v>5</v>
      </c>
      <c r="AQ48" s="1847">
        <f>OFFSET(AQ48,0,-1)+1</f>
        <v>6</v>
      </c>
      <c r="AR48" s="1023"/>
      <c r="AS48" s="1023"/>
      <c r="AT48" s="1023"/>
      <c r="AU48" s="1023"/>
      <c r="AV48" s="1023"/>
      <c r="AW48" s="1008">
        <v>0</v>
      </c>
    </row>
    <row customHeight="1" ht="22.049999999999997">
      <c r="A49" s="1779" t="s">
        <v>234</v>
      </c>
      <c r="B49" s="1779"/>
      <c r="C49" s="1779"/>
      <c r="D49" s="1779"/>
      <c r="E49" s="2801">
        <v>1</v>
      </c>
      <c r="F49" s="1779"/>
      <c r="G49" s="1779"/>
      <c r="H49" s="1779"/>
      <c r="I49" s="1779"/>
      <c r="J49" s="1779"/>
      <c r="K49" s="1779"/>
      <c r="L49" s="1779"/>
      <c r="M49" s="1822"/>
      <c r="N49" s="1200"/>
      <c r="O49" s="1200"/>
      <c r="P49" s="1200"/>
      <c r="Q49" s="873"/>
      <c r="R49" s="872"/>
      <c r="S49" s="872"/>
      <c r="T49" s="867"/>
      <c r="U49" s="1848">
        <f>INDEX(PT_DIFFERENTIATION_NUM_NTAR,MATCH(A49,PT_DIFFERENTIATION_NTAR_ID,0))</f>
        <v>0</v>
      </c>
      <c r="V49" s="810" t="s">
        <v>189</v>
      </c>
      <c r="W49" s="812"/>
      <c r="X49" s="2754"/>
      <c r="Y49" s="2755"/>
      <c r="Z49" s="2755"/>
      <c r="AA49" s="2755"/>
      <c r="AB49" s="2755"/>
      <c r="AC49" s="2755"/>
      <c r="AD49" s="2755"/>
      <c r="AE49" s="2755"/>
      <c r="AF49" s="2756"/>
      <c r="AG49" s="2754" t="str">
        <f>INDEX(PT_DIFFERENTIATION_NTAR,MATCH(A49,PT_DIFFERENTIATION_NTAR_ID,0))</f>
        <v/>
      </c>
      <c r="AH49" s="2755"/>
      <c r="AI49" s="2755"/>
      <c r="AJ49" s="2755"/>
      <c r="AK49" s="2755"/>
      <c r="AL49" s="2755"/>
      <c r="AM49" s="2755"/>
      <c r="AN49" s="2755"/>
      <c r="AO49" s="2755"/>
      <c r="AP49" s="2756"/>
      <c r="AQ49"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1012"/>
      <c r="AT49" s="1012" t="str">
        <f>IF(V49="","",V49)</f>
        <v>Наименование тарифа</v>
      </c>
      <c r="AU49" s="1012"/>
      <c r="AV49" s="1012"/>
      <c r="AW49" s="1667">
        <v>21</v>
      </c>
    </row>
    <row customHeight="1" ht="22.049999999999997">
      <c r="A50" s="1779" t="s">
        <v>234</v>
      </c>
      <c r="B50" s="1779" t="s">
        <v>235</v>
      </c>
      <c r="C50" s="1779"/>
      <c r="D50" s="1779"/>
      <c r="E50" s="2802"/>
      <c r="F50" s="2801">
        <v>1</v>
      </c>
      <c r="G50" s="1779"/>
      <c r="H50" s="1779"/>
      <c r="I50" s="1779"/>
      <c r="J50" s="1779"/>
      <c r="K50" s="1779"/>
      <c r="L50" s="1779"/>
      <c r="M50" s="1822"/>
      <c r="N50" s="1200"/>
      <c r="O50" s="1200"/>
      <c r="P50" s="1200"/>
      <c r="Q50" s="1844"/>
      <c r="R50" s="864"/>
      <c r="S50" s="1021"/>
      <c r="T50" s="865"/>
      <c r="U50" s="1848" t="str">
        <f>INDEX(PT_DIFFERENTIATION_NUM_TER,MATCH(B50,PT_DIFFERENTIATION_TER_ID,0))</f>
        <v>.</v>
      </c>
      <c r="V50" s="820" t="s">
        <v>536</v>
      </c>
      <c r="W50" s="812"/>
      <c r="X50" s="2754"/>
      <c r="Y50" s="2755"/>
      <c r="Z50" s="2755"/>
      <c r="AA50" s="2755"/>
      <c r="AB50" s="2755"/>
      <c r="AC50" s="2755"/>
      <c r="AD50" s="2755"/>
      <c r="AE50" s="2755"/>
      <c r="AF50" s="2756"/>
      <c r="AG50" s="2754" t="str">
        <f>INDEX(PT_DIFFERENTIATION_TER,MATCH(B50,PT_DIFFERENTIATION_TER_ID,0))</f>
        <v/>
      </c>
      <c r="AH50" s="2755"/>
      <c r="AI50" s="2755"/>
      <c r="AJ50" s="2755"/>
      <c r="AK50" s="2755"/>
      <c r="AL50" s="2755"/>
      <c r="AM50" s="2755"/>
      <c r="AN50" s="2755"/>
      <c r="AO50" s="2755"/>
      <c r="AP50" s="2756"/>
      <c r="AQ50" s="1770" t="s">
        <v>537</v>
      </c>
      <c r="AS50" s="1012"/>
      <c r="AT50" s="1012" t="str">
        <f>IF(V50="","",V50)</f>
        <v>Территория действия тарифа</v>
      </c>
      <c r="AU50" s="1012"/>
      <c r="AV50" s="1012"/>
      <c r="AW50" s="1667">
        <v>21</v>
      </c>
    </row>
    <row customHeight="1" ht="24">
      <c r="A51" s="1779" t="s">
        <v>234</v>
      </c>
      <c r="B51" s="1779" t="s">
        <v>235</v>
      </c>
      <c r="C51" s="1779" t="s">
        <v>236</v>
      </c>
      <c r="D51" s="1779"/>
      <c r="E51" s="2802"/>
      <c r="F51" s="2802"/>
      <c r="G51" s="2801">
        <v>1</v>
      </c>
      <c r="H51" s="1779"/>
      <c r="I51" s="1779"/>
      <c r="J51" s="1779"/>
      <c r="K51" s="1779"/>
      <c r="L51" s="1779"/>
      <c r="M51" s="1822"/>
      <c r="N51" s="1200"/>
      <c r="O51" s="1200"/>
      <c r="P51" s="1200"/>
      <c r="Q51" s="866"/>
      <c r="R51" s="864"/>
      <c r="S51" s="1021"/>
      <c r="T51" s="865"/>
      <c r="U51" s="1848" t="str">
        <f>INDEX(PT_DIFFERENTIATION_NUM_CS,MATCH(C51,PT_DIFFERENTIATION_CS_ID,0))</f>
        <v>..</v>
      </c>
      <c r="V51" s="821" t="s">
        <v>538</v>
      </c>
      <c r="W51" s="812"/>
      <c r="X51" s="2754"/>
      <c r="Y51" s="2755"/>
      <c r="Z51" s="2755"/>
      <c r="AA51" s="2755"/>
      <c r="AB51" s="2755"/>
      <c r="AC51" s="2755"/>
      <c r="AD51" s="2755"/>
      <c r="AE51" s="2755"/>
      <c r="AF51" s="2756"/>
      <c r="AG51" s="2754" t="str">
        <f>INDEX(PT_DIFFERENTIATION_CS,MATCH(C51,PT_DIFFERENTIATION_CS_ID,0))</f>
        <v/>
      </c>
      <c r="AH51" s="2755"/>
      <c r="AI51" s="2755"/>
      <c r="AJ51" s="2755"/>
      <c r="AK51" s="2755"/>
      <c r="AL51" s="2755"/>
      <c r="AM51" s="2755"/>
      <c r="AN51" s="2755"/>
      <c r="AO51" s="2755"/>
      <c r="AP51" s="2756"/>
      <c r="AQ51" s="1770" t="s">
        <v>539</v>
      </c>
      <c r="AS51" s="1012"/>
      <c r="AT51" s="1012" t="str">
        <f>IF(V51="","",V51)</f>
        <v>Наименование системы теплоснабжения </v>
      </c>
      <c r="AU51" s="1012"/>
      <c r="AV51" s="1012"/>
      <c r="AW51" s="1667">
        <v>23</v>
      </c>
    </row>
    <row customHeight="1" ht="22.049999999999997">
      <c r="A52" s="1779" t="s">
        <v>234</v>
      </c>
      <c r="B52" s="1779" t="s">
        <v>235</v>
      </c>
      <c r="C52" s="1779" t="s">
        <v>236</v>
      </c>
      <c r="D52" s="1779" t="s">
        <v>237</v>
      </c>
      <c r="E52" s="2802"/>
      <c r="F52" s="2802"/>
      <c r="G52" s="2802"/>
      <c r="H52" s="2822">
        <v>1</v>
      </c>
      <c r="I52" s="1779"/>
      <c r="J52" s="1779"/>
      <c r="K52" s="1779"/>
      <c r="L52" s="1779"/>
      <c r="M52" s="1822"/>
      <c r="N52" s="1200"/>
      <c r="O52" s="1200"/>
      <c r="P52" s="1200"/>
      <c r="Q52" s="866"/>
      <c r="R52" s="864"/>
      <c r="S52" s="1021"/>
      <c r="T52" s="865"/>
      <c r="U52" s="1848" t="str">
        <f>INDEX(PT_DIFFERENTIATION_NUM_IST_TE,MATCH(D52,PT_DIFFERENTIATION_IST_TE_ID,0))</f>
        <v>...</v>
      </c>
      <c r="V52" s="822" t="s">
        <v>540</v>
      </c>
      <c r="W52" s="812"/>
      <c r="X52" s="2754"/>
      <c r="Y52" s="2755"/>
      <c r="Z52" s="2755"/>
      <c r="AA52" s="2755"/>
      <c r="AB52" s="2755"/>
      <c r="AC52" s="2755"/>
      <c r="AD52" s="2755"/>
      <c r="AE52" s="2755"/>
      <c r="AF52" s="2756"/>
      <c r="AG52" s="2754" t="str">
        <f>INDEX(PT_DIFFERENTIATION_IST_TE,MATCH(D52,PT_DIFFERENTIATION_IST_TE_ID,0))</f>
        <v/>
      </c>
      <c r="AH52" s="2755"/>
      <c r="AI52" s="2755"/>
      <c r="AJ52" s="2755"/>
      <c r="AK52" s="2755"/>
      <c r="AL52" s="2755"/>
      <c r="AM52" s="2755"/>
      <c r="AN52" s="2755"/>
      <c r="AO52" s="2755"/>
      <c r="AP52" s="2756"/>
      <c r="AQ52" s="1770" t="s">
        <v>541</v>
      </c>
      <c r="AS52" s="1012"/>
      <c r="AT52" s="1012" t="str">
        <f>IF(V52="","",V52)</f>
        <v>Источник тепловой энергии  </v>
      </c>
      <c r="AU52" s="1012"/>
      <c r="AV52" s="1012"/>
      <c r="AW52" s="1667">
        <v>21</v>
      </c>
    </row>
    <row s="50882" customFormat="1" customHeight="1" ht="0">
      <c r="A53" s="1887" t="s">
        <v>234</v>
      </c>
      <c r="B53" s="1887" t="s">
        <v>235</v>
      </c>
      <c r="C53" s="1887" t="s">
        <v>236</v>
      </c>
      <c r="D53" s="1887" t="s">
        <v>237</v>
      </c>
      <c r="E53" s="2802"/>
      <c r="F53" s="2802"/>
      <c r="G53" s="2802"/>
      <c r="H53" s="2823"/>
      <c r="I53" s="2639" t="str">
        <f>U52&amp;".1"</f>
        <v>....1</v>
      </c>
      <c r="J53" s="1887"/>
      <c r="K53" s="1887"/>
      <c r="L53" s="1887"/>
      <c r="M53" s="1893" t="s">
        <v>542</v>
      </c>
      <c r="N53" s="1758"/>
      <c r="O53" s="1758"/>
      <c r="P53" s="1758"/>
      <c r="Q53" s="2769">
        <v>1</v>
      </c>
      <c r="R53" s="1843"/>
      <c r="S53" s="1843"/>
      <c r="T53" s="868"/>
      <c r="U53" s="1554"/>
      <c r="V53" s="1895"/>
      <c r="W53" s="1896"/>
      <c r="X53" s="2808"/>
      <c r="Y53" s="2809"/>
      <c r="Z53" s="2809"/>
      <c r="AA53" s="2809"/>
      <c r="AB53" s="2809"/>
      <c r="AC53" s="2809"/>
      <c r="AD53" s="2809"/>
      <c r="AE53" s="2809"/>
      <c r="AF53" s="2810"/>
      <c r="AG53" s="2808"/>
      <c r="AH53" s="2809"/>
      <c r="AI53" s="2809"/>
      <c r="AJ53" s="2809"/>
      <c r="AK53" s="2809"/>
      <c r="AL53" s="2809"/>
      <c r="AM53" s="2809"/>
      <c r="AN53" s="2809"/>
      <c r="AO53" s="2809"/>
      <c r="AP53" s="2810"/>
      <c r="AQ53" s="1897"/>
      <c r="AS53" s="1012"/>
      <c r="AT53" s="1012" t="str">
        <f>IF(V53="","",V53)</f>
        <v/>
      </c>
      <c r="AU53" s="1012"/>
      <c r="AV53" s="1012"/>
      <c r="AW53" s="1023">
        <v>0</v>
      </c>
    </row>
    <row customHeight="1" ht="22.049999999999997">
      <c r="A54" s="1779" t="s">
        <v>234</v>
      </c>
      <c r="B54" s="1779" t="s">
        <v>235</v>
      </c>
      <c r="C54" s="1779" t="s">
        <v>236</v>
      </c>
      <c r="D54" s="1779" t="s">
        <v>237</v>
      </c>
      <c r="E54" s="2802"/>
      <c r="F54" s="2802"/>
      <c r="G54" s="2802"/>
      <c r="H54" s="2823"/>
      <c r="I54" s="2613"/>
      <c r="J54" s="2639" t="str">
        <f>I53&amp;".1"</f>
        <v>....1.1</v>
      </c>
      <c r="K54" s="1779"/>
      <c r="L54" s="1779"/>
      <c r="M54" s="1822" t="s">
        <v>545</v>
      </c>
      <c r="Q54" s="2769"/>
      <c r="R54" s="2769">
        <v>1</v>
      </c>
      <c r="S54" s="1030"/>
      <c r="T54" s="869"/>
      <c r="U54" s="1848" t="str">
        <f>$J54</f>
        <v>....1.1</v>
      </c>
      <c r="V54" s="798" t="s">
        <v>546</v>
      </c>
      <c r="W54" s="812"/>
      <c r="X54" s="2757"/>
      <c r="Y54" s="2758"/>
      <c r="Z54" s="2758"/>
      <c r="AA54" s="2758"/>
      <c r="AB54" s="2758"/>
      <c r="AC54" s="2747"/>
      <c r="AD54" s="2747"/>
      <c r="AE54" s="2747"/>
      <c r="AF54" s="2820"/>
      <c r="AG54" s="2757"/>
      <c r="AH54" s="2758"/>
      <c r="AI54" s="2758"/>
      <c r="AJ54" s="2758"/>
      <c r="AK54" s="2758"/>
      <c r="AL54" s="2758"/>
      <c r="AM54" s="2758"/>
      <c r="AN54" s="2758"/>
      <c r="AO54" s="2758"/>
      <c r="AP54" s="2759"/>
      <c r="AQ54" s="1770" t="s">
        <v>547</v>
      </c>
      <c r="AS54" s="1012"/>
      <c r="AT54" s="1012" t="str">
        <f>IF(V54="","",V54)</f>
        <v>Группа потребителей</v>
      </c>
      <c r="AU54" s="1012"/>
      <c r="AV54" s="1012"/>
      <c r="AW54" s="1667">
        <v>21</v>
      </c>
    </row>
    <row customHeight="1" ht="22.049999999999997">
      <c r="A55" s="1779" t="s">
        <v>234</v>
      </c>
      <c r="B55" s="1779" t="s">
        <v>235</v>
      </c>
      <c r="C55" s="1779" t="s">
        <v>236</v>
      </c>
      <c r="D55" s="1779" t="s">
        <v>237</v>
      </c>
      <c r="E55" s="2802"/>
      <c r="F55" s="2802"/>
      <c r="G55" s="2802"/>
      <c r="H55" s="2823"/>
      <c r="I55" s="2613"/>
      <c r="J55" s="2613"/>
      <c r="K55" s="2639" t="str">
        <f>J54&amp;".1"</f>
        <v>....1.1.1</v>
      </c>
      <c r="L55" s="651"/>
      <c r="M55" s="1822" t="s">
        <v>548</v>
      </c>
      <c r="Q55" s="2769"/>
      <c r="R55" s="2769"/>
      <c r="S55" s="1030">
        <v>1</v>
      </c>
      <c r="T55" s="869"/>
      <c r="U55" s="1848" t="str">
        <f>$K55</f>
        <v>....1.1.1</v>
      </c>
      <c r="V55" s="1859"/>
      <c r="W55" s="812"/>
      <c r="X55" s="1263"/>
      <c r="Y55" s="1263"/>
      <c r="Z55" s="1263"/>
      <c r="AA55" s="1263"/>
      <c r="AB55" s="1917"/>
      <c r="AC55" s="2777"/>
      <c r="AD55" s="2619" t="s">
        <v>63</v>
      </c>
      <c r="AE55" s="2777"/>
      <c r="AF55" s="2619" t="s">
        <v>63</v>
      </c>
      <c r="AG55" s="1919"/>
      <c r="AH55" s="1263"/>
      <c r="AI55" s="1263"/>
      <c r="AJ55" s="1263"/>
      <c r="AK55" s="1769"/>
      <c r="AL55" s="2777"/>
      <c r="AM55" s="2619" t="s">
        <v>63</v>
      </c>
      <c r="AN55" s="2777"/>
      <c r="AO55" s="2619" t="s">
        <v>63</v>
      </c>
      <c r="AP55" s="1860"/>
      <c r="AQ55" s="1819" t="s">
        <v>588</v>
      </c>
      <c r="AR55" s="1023">
        <f>STRCHECKDATE(X57:AP57)</f>
      </c>
      <c r="AS55" s="1012"/>
      <c r="AT55" s="1012" t="str">
        <f>IF(V55="","",V55)</f>
        <v/>
      </c>
      <c r="AU55" s="1012"/>
      <c r="AV55" s="1012"/>
      <c r="AW55" s="1667">
        <v>21</v>
      </c>
    </row>
    <row customHeight="1" ht="11.549999999999999">
      <c r="A56" s="1779" t="s">
        <v>234</v>
      </c>
      <c r="B56" s="1779" t="s">
        <v>235</v>
      </c>
      <c r="C56" s="1779" t="s">
        <v>236</v>
      </c>
      <c r="D56" s="1779" t="s">
        <v>237</v>
      </c>
      <c r="E56" s="2802"/>
      <c r="F56" s="2802"/>
      <c r="G56" s="2802"/>
      <c r="H56" s="2823"/>
      <c r="I56" s="2613"/>
      <c r="J56" s="2613"/>
      <c r="K56" s="2613"/>
      <c r="L56" s="2639" t="str">
        <f>K55&amp;".1"</f>
        <v>....1.1.1.1</v>
      </c>
      <c r="M56" s="1822"/>
      <c r="Q56" s="2769"/>
      <c r="R56" s="2769"/>
      <c r="S56" s="1030">
        <v>1</v>
      </c>
      <c r="T56" s="869"/>
      <c r="U56" s="1848" t="str">
        <f>$L56</f>
        <v>....1.1.1.1</v>
      </c>
      <c r="V56" s="1903"/>
      <c r="W56" s="812"/>
      <c r="X56" s="837"/>
      <c r="Y56" s="1263"/>
      <c r="Z56" s="1263"/>
      <c r="AA56" s="1263"/>
      <c r="AB56" s="1917"/>
      <c r="AC56" s="2821"/>
      <c r="AD56" s="2619"/>
      <c r="AE56" s="2821"/>
      <c r="AF56" s="2619"/>
      <c r="AG56" s="1919"/>
      <c r="AH56" s="1263"/>
      <c r="AI56" s="1263"/>
      <c r="AJ56" s="1263"/>
      <c r="AK56" s="1769"/>
      <c r="AL56" s="2821"/>
      <c r="AM56" s="2619"/>
      <c r="AN56" s="2821"/>
      <c r="AO56" s="2619"/>
      <c r="AP56" s="1860"/>
      <c r="AQ56" s="2765" t="s">
        <v>589</v>
      </c>
      <c r="AR56" s="1023">
        <f>STRCHECKDATE(X58:AP58)</f>
      </c>
      <c r="AS56" s="1012"/>
      <c r="AT56" s="1012" t="str">
        <f>IF(V56="","",V56)</f>
        <v/>
      </c>
      <c r="AU56" s="1012"/>
      <c r="AV56" s="1012"/>
      <c r="AW56" s="1667">
        <v>11</v>
      </c>
    </row>
    <row customHeight="1" ht="0">
      <c r="A57" s="1779" t="s">
        <v>234</v>
      </c>
      <c r="B57" s="1779" t="s">
        <v>235</v>
      </c>
      <c r="C57" s="1779" t="s">
        <v>236</v>
      </c>
      <c r="D57" s="1779" t="s">
        <v>237</v>
      </c>
      <c r="E57" s="2802"/>
      <c r="F57" s="2802"/>
      <c r="G57" s="2802"/>
      <c r="H57" s="2823"/>
      <c r="I57" s="2613"/>
      <c r="J57" s="2613"/>
      <c r="K57" s="2613"/>
      <c r="L57" s="2639"/>
      <c r="M57" s="1822"/>
      <c r="Q57" s="2769"/>
      <c r="R57" s="2769"/>
      <c r="S57" s="1030"/>
      <c r="T57" s="869"/>
      <c r="U57" s="1854"/>
      <c r="V57" s="812"/>
      <c r="W57" s="812"/>
      <c r="X57" s="837"/>
      <c r="Y57" s="837"/>
      <c r="Z57" s="837"/>
      <c r="AA57" s="837"/>
      <c r="AB57" s="1918" t="str">
        <f>AC55&amp;"-"&amp;AE55</f>
        <v>-</v>
      </c>
      <c r="AC57" s="2821"/>
      <c r="AD57" s="2619"/>
      <c r="AE57" s="2821"/>
      <c r="AF57" s="2619"/>
      <c r="AG57" s="1894"/>
      <c r="AH57" s="837"/>
      <c r="AI57" s="837"/>
      <c r="AJ57" s="837"/>
      <c r="AK57" s="840" t="str">
        <f>AL55&amp;"-"&amp;AN55</f>
        <v>-</v>
      </c>
      <c r="AL57" s="2821"/>
      <c r="AM57" s="2619"/>
      <c r="AN57" s="2821"/>
      <c r="AO57" s="2619"/>
      <c r="AP57" s="1861"/>
      <c r="AQ57" s="2766"/>
      <c r="AS57" s="1012"/>
      <c r="AT57" s="1012" t="str">
        <f>IF(V57="","",V57)</f>
        <v/>
      </c>
      <c r="AU57" s="1012"/>
      <c r="AV57" s="1012"/>
      <c r="AW57" s="1667">
        <v>0</v>
      </c>
    </row>
    <row customHeight="1" ht="11.549999999999999">
      <c r="A58" s="1779" t="s">
        <v>234</v>
      </c>
      <c r="B58" s="1779" t="s">
        <v>235</v>
      </c>
      <c r="C58" s="1779" t="s">
        <v>236</v>
      </c>
      <c r="D58" s="1779" t="s">
        <v>237</v>
      </c>
      <c r="E58" s="2802"/>
      <c r="F58" s="2802"/>
      <c r="G58" s="2802"/>
      <c r="H58" s="2823"/>
      <c r="I58" s="2613"/>
      <c r="J58" s="2613"/>
      <c r="K58" s="2639"/>
      <c r="L58" s="1779"/>
      <c r="M58" s="1822"/>
      <c r="Q58" s="2769"/>
      <c r="R58" s="2769"/>
      <c r="S58" s="1843"/>
      <c r="T58" s="868"/>
      <c r="U58" s="1790"/>
      <c r="V58" s="800" t="s">
        <v>590</v>
      </c>
      <c r="W58" s="879"/>
      <c r="X58" s="879"/>
      <c r="Y58" s="879"/>
      <c r="Z58" s="879"/>
      <c r="AA58" s="879"/>
      <c r="AB58" s="879"/>
      <c r="AC58" s="2821"/>
      <c r="AD58" s="2619"/>
      <c r="AE58" s="2821"/>
      <c r="AF58" s="2619"/>
      <c r="AG58" s="879"/>
      <c r="AH58" s="879"/>
      <c r="AI58" s="879"/>
      <c r="AJ58" s="879"/>
      <c r="AK58" s="879"/>
      <c r="AL58" s="2821"/>
      <c r="AM58" s="2619"/>
      <c r="AN58" s="2821"/>
      <c r="AO58" s="2619"/>
      <c r="AP58" s="836"/>
      <c r="AQ58" s="2766"/>
      <c r="AS58" s="1012"/>
      <c r="AT58" s="1012" t="str">
        <f>IF(V58="","",V58)</f>
        <v>Добавить наименование поставщика</v>
      </c>
      <c r="AU58" s="1012"/>
      <c r="AV58" s="1012"/>
      <c r="AW58" s="1667">
        <v>11</v>
      </c>
    </row>
    <row customHeight="1" ht="11.549999999999999">
      <c r="A59" s="1779" t="s">
        <v>234</v>
      </c>
      <c r="B59" s="1779" t="s">
        <v>235</v>
      </c>
      <c r="C59" s="1779" t="s">
        <v>236</v>
      </c>
      <c r="D59" s="1779" t="s">
        <v>237</v>
      </c>
      <c r="E59" s="2802"/>
      <c r="F59" s="2802"/>
      <c r="G59" s="2802"/>
      <c r="H59" s="2823"/>
      <c r="I59" s="2613"/>
      <c r="J59" s="2639"/>
      <c r="K59" s="1779"/>
      <c r="L59" s="1779"/>
      <c r="M59" s="1822"/>
      <c r="Q59" s="2769"/>
      <c r="R59" s="2769"/>
      <c r="S59" s="1843"/>
      <c r="T59" s="868"/>
      <c r="U59" s="1790"/>
      <c r="V59" s="799" t="s">
        <v>550</v>
      </c>
      <c r="W59" s="879"/>
      <c r="X59" s="879"/>
      <c r="Y59" s="879"/>
      <c r="Z59" s="879"/>
      <c r="AA59" s="879"/>
      <c r="AB59" s="879"/>
      <c r="AC59" s="1920"/>
      <c r="AD59" s="1920"/>
      <c r="AE59" s="1920"/>
      <c r="AF59" s="1920"/>
      <c r="AG59" s="879"/>
      <c r="AH59" s="879"/>
      <c r="AI59" s="879"/>
      <c r="AJ59" s="879"/>
      <c r="AK59" s="879"/>
      <c r="AL59" s="879"/>
      <c r="AM59" s="879"/>
      <c r="AN59" s="879"/>
      <c r="AO59" s="879"/>
      <c r="AP59" s="836"/>
      <c r="AQ59" s="2767"/>
      <c r="AS59" s="1012"/>
      <c r="AT59" s="1012" t="str">
        <f>IF(V59="","",V59)</f>
        <v>Добавить вид теплоносителя (параметры теплоносителя)</v>
      </c>
      <c r="AU59" s="1012"/>
      <c r="AV59" s="1012"/>
      <c r="AW59" s="1667">
        <v>11</v>
      </c>
    </row>
    <row customHeight="1" ht="11.549999999999999">
      <c r="A60" s="1779" t="s">
        <v>234</v>
      </c>
      <c r="B60" s="1779" t="s">
        <v>235</v>
      </c>
      <c r="C60" s="1779" t="s">
        <v>236</v>
      </c>
      <c r="D60" s="1779" t="s">
        <v>237</v>
      </c>
      <c r="E60" s="2802"/>
      <c r="F60" s="2802"/>
      <c r="G60" s="2802"/>
      <c r="H60" s="2823"/>
      <c r="I60" s="2639"/>
      <c r="J60" s="1779"/>
      <c r="K60" s="1779"/>
      <c r="L60" s="1779"/>
      <c r="M60" s="1822"/>
      <c r="Q60" s="2769"/>
      <c r="R60" s="1843"/>
      <c r="S60" s="1843"/>
      <c r="T60" s="868"/>
      <c r="U60" s="1790"/>
      <c r="V60" s="877" t="s">
        <v>551</v>
      </c>
      <c r="W60" s="879"/>
      <c r="X60" s="879"/>
      <c r="Y60" s="879"/>
      <c r="Z60" s="879"/>
      <c r="AA60" s="879"/>
      <c r="AB60" s="879"/>
      <c r="AC60" s="879"/>
      <c r="AD60" s="879"/>
      <c r="AE60" s="879"/>
      <c r="AF60" s="878"/>
      <c r="AG60" s="879"/>
      <c r="AH60" s="879"/>
      <c r="AI60" s="879"/>
      <c r="AJ60" s="879"/>
      <c r="AK60" s="879"/>
      <c r="AL60" s="879"/>
      <c r="AM60" s="879"/>
      <c r="AN60" s="879"/>
      <c r="AO60" s="878"/>
      <c r="AP60" s="879"/>
      <c r="AQ60" s="815"/>
      <c r="AS60" s="1012"/>
      <c r="AT60" s="1012" t="str">
        <f>IF(V60="","",V60)</f>
        <v>Добавить группу потребителей</v>
      </c>
      <c r="AU60" s="1012"/>
      <c r="AV60" s="1012"/>
      <c r="AW60" s="1667">
        <v>11</v>
      </c>
    </row>
    <row customHeight="1" ht="0">
      <c r="A61" s="1779" t="s">
        <v>234</v>
      </c>
      <c r="B61" s="1779" t="s">
        <v>235</v>
      </c>
      <c r="C61" s="1779" t="s">
        <v>236</v>
      </c>
      <c r="D61" s="1779" t="s">
        <v>237</v>
      </c>
      <c r="E61" s="2802"/>
      <c r="F61" s="2802"/>
      <c r="G61" s="2802"/>
      <c r="H61" s="2822"/>
      <c r="I61" s="1779"/>
      <c r="J61" s="1779"/>
      <c r="K61" s="1779"/>
      <c r="L61" s="1779"/>
      <c r="M61" s="1822"/>
      <c r="N61" s="1200"/>
      <c r="O61" s="1200"/>
      <c r="P61" s="1021"/>
      <c r="Q61" s="872"/>
      <c r="R61" s="887"/>
      <c r="S61" s="867"/>
      <c r="T61" s="872"/>
      <c r="U61" s="1898"/>
      <c r="V61" s="1899"/>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1"/>
      <c r="AS61" s="1012"/>
      <c r="AT61" s="1012" t="str">
        <f>IF(V61="","",V61)</f>
        <v/>
      </c>
      <c r="AU61" s="1012"/>
      <c r="AV61" s="1012"/>
      <c r="AW61" s="1667">
        <v>0</v>
      </c>
    </row>
    <row s="50882" customFormat="1" customHeight="1" ht="0">
      <c r="A62" s="1887" t="s">
        <v>234</v>
      </c>
      <c r="B62" s="1887" t="s">
        <v>235</v>
      </c>
      <c r="C62" s="1887" t="s">
        <v>236</v>
      </c>
      <c r="D62" s="1886"/>
      <c r="E62" s="2802"/>
      <c r="F62" s="2802"/>
      <c r="G62" s="2801"/>
      <c r="H62" s="1886"/>
      <c r="I62" s="1886"/>
      <c r="J62" s="1886"/>
      <c r="K62" s="1886"/>
      <c r="L62" s="1886"/>
      <c r="M62" s="1889"/>
      <c r="N62" s="1890"/>
      <c r="O62" s="1890"/>
      <c r="P62" s="863"/>
      <c r="Q62" s="1828"/>
      <c r="R62" s="1829"/>
      <c r="S62" s="1828"/>
      <c r="T62" s="1828"/>
      <c r="U62" s="1834"/>
      <c r="V62" s="1837" t="s">
        <v>553</v>
      </c>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S62" s="1301"/>
      <c r="AT62" s="1301" t="str">
        <f>IF(V62="","",V62)</f>
        <v>Добавить источник для дифференциации</v>
      </c>
      <c r="AU62" s="1301"/>
      <c r="AV62" s="1301"/>
      <c r="AW62" s="1030">
        <v>0</v>
      </c>
    </row>
    <row s="50882" customFormat="1" customHeight="1" ht="0">
      <c r="A63" s="1887" t="s">
        <v>234</v>
      </c>
      <c r="B63" s="1887" t="s">
        <v>235</v>
      </c>
      <c r="C63" s="1886"/>
      <c r="D63" s="1886"/>
      <c r="E63" s="2802"/>
      <c r="F63" s="2801"/>
      <c r="G63" s="1886"/>
      <c r="H63" s="1886"/>
      <c r="I63" s="1886"/>
      <c r="J63" s="1886"/>
      <c r="K63" s="1886"/>
      <c r="L63" s="1886"/>
      <c r="M63" s="1889"/>
      <c r="N63" s="1891"/>
      <c r="O63" s="1891"/>
      <c r="P63" s="863"/>
      <c r="Q63" s="1828"/>
      <c r="R63" s="1829"/>
      <c r="S63" s="1828"/>
      <c r="T63" s="1828"/>
      <c r="U63" s="1834"/>
      <c r="V63" s="1837" t="s">
        <v>290</v>
      </c>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S63" s="1301"/>
      <c r="AT63" s="1301" t="str">
        <f>IF(V63="","",V63)</f>
        <v>Добавить централизованную систему для дифференциации</v>
      </c>
      <c r="AU63" s="1301"/>
      <c r="AV63" s="1301"/>
      <c r="AW63" s="1030">
        <v>0</v>
      </c>
    </row>
    <row s="50882" customFormat="1" customHeight="1" ht="0">
      <c r="A64" s="1887" t="s">
        <v>234</v>
      </c>
      <c r="B64" s="1887"/>
      <c r="C64" s="1887"/>
      <c r="D64" s="1887"/>
      <c r="E64" s="2801"/>
      <c r="F64" s="1887"/>
      <c r="G64" s="1887"/>
      <c r="H64" s="1887"/>
      <c r="I64" s="1887"/>
      <c r="J64" s="1887"/>
      <c r="K64" s="1887"/>
      <c r="L64" s="1887"/>
      <c r="M64" s="1893"/>
      <c r="N64" s="1891"/>
      <c r="O64" s="1891"/>
      <c r="P64" s="863"/>
      <c r="Q64" s="892"/>
      <c r="R64" s="1856"/>
      <c r="S64" s="892"/>
      <c r="T64" s="892"/>
      <c r="U64" s="1834"/>
      <c r="V64" s="1837" t="s">
        <v>365</v>
      </c>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S64" s="1012"/>
      <c r="AT64" s="1012" t="str">
        <f>IF(V64="","",V64)</f>
        <v>Добавить территорию для дифференциации</v>
      </c>
      <c r="AU64" s="1012"/>
      <c r="AV64" s="1012"/>
      <c r="AW64" s="1023">
        <v>0</v>
      </c>
    </row>
    <row s="50882" customFormat="1" customHeight="1" ht="4.2">
      <c r="A65" s="1886"/>
      <c r="B65" s="1886"/>
      <c r="C65" s="1886"/>
      <c r="D65" s="1886"/>
      <c r="E65" s="1887"/>
      <c r="F65" s="1886"/>
      <c r="G65" s="1886"/>
      <c r="H65" s="1886"/>
      <c r="I65" s="1886"/>
      <c r="J65" s="1886"/>
      <c r="K65" s="1886"/>
      <c r="L65" s="1886"/>
      <c r="M65" s="1889"/>
      <c r="N65" s="1891"/>
      <c r="O65" s="1891"/>
      <c r="P65" s="863"/>
      <c r="Q65" s="1828"/>
      <c r="R65" s="1829"/>
      <c r="S65" s="1828"/>
      <c r="T65" s="1828"/>
      <c r="U65" s="1834"/>
      <c r="V65" s="1837" t="s">
        <v>366</v>
      </c>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S65" s="1301"/>
      <c r="AT65" s="1301" t="str">
        <f>IF(V65="","",V65)</f>
        <v>Добавить наименование тарифа</v>
      </c>
      <c r="AU65" s="1301"/>
      <c r="AV65" s="1301"/>
      <c r="AW65" s="1030">
        <v>4</v>
      </c>
    </row>
    <row customHeight="1" ht="11.549999999999999">
      <c r="N66" s="1667"/>
      <c r="O66" s="1667"/>
      <c r="P66" s="1021"/>
      <c r="Q66" s="1667"/>
      <c r="R66" s="1667"/>
      <c r="S66" s="1667"/>
      <c r="T66" s="1667"/>
      <c r="U66" s="1667"/>
      <c r="AR66" s="1667"/>
      <c r="AS66" s="1667"/>
      <c r="AT66" s="1667"/>
      <c r="AU66" s="1667"/>
      <c r="AV66" s="1667"/>
      <c r="AW66" s="1667">
        <v>11</v>
      </c>
    </row>
    <row customHeight="1" ht="35.699999999999996">
      <c r="P67" s="1021"/>
      <c r="U67" s="1765"/>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W67" s="1667">
        <v>34</v>
      </c>
    </row>
    <row customHeight="1" ht="21">
      <c r="P68" s="1021"/>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W68" s="1667">
        <v>20</v>
      </c>
    </row>
    <row customHeight="1" ht="14.699999999999998">
      <c r="P69" s="1021"/>
      <c r="AW69" s="1667">
        <v>14</v>
      </c>
    </row>
    <row customHeight="1" ht="28.5">
      <c r="P70" s="1021"/>
      <c r="V70" s="2797"/>
      <c r="W70" s="2797"/>
      <c r="X70" s="2797"/>
      <c r="Y70" s="2797"/>
      <c r="Z70" s="2797"/>
      <c r="AA70" s="2797"/>
      <c r="AB70" s="2797"/>
      <c r="AC70" s="2797"/>
      <c r="AD70" s="2797"/>
      <c r="AE70" s="2797"/>
      <c r="AF70" s="2797"/>
      <c r="AG70" s="2797"/>
      <c r="AH70" s="2797"/>
      <c r="AI70" s="2797"/>
      <c r="AJ70" s="2797"/>
      <c r="AK70" s="2797"/>
      <c r="AL70" s="2797"/>
      <c r="AM70" s="2797"/>
      <c r="AN70" s="2797"/>
      <c r="AO70" s="2797"/>
      <c r="AP70" s="2797"/>
      <c r="AQ70" s="2797"/>
      <c r="AW70" s="1667">
        <v>27</v>
      </c>
    </row>
    <row customHeight="1" ht="18.75">
      <c r="P71" s="1021"/>
      <c r="V71" s="2797"/>
      <c r="W71" s="2797"/>
      <c r="X71" s="2797"/>
      <c r="Y71" s="2797"/>
      <c r="Z71" s="2797"/>
      <c r="AA71" s="2797"/>
      <c r="AB71" s="2797"/>
      <c r="AC71" s="2797"/>
      <c r="AD71" s="2797"/>
      <c r="AE71" s="2797"/>
      <c r="AF71" s="2797"/>
      <c r="AG71" s="2797"/>
      <c r="AH71" s="2797"/>
      <c r="AI71" s="2797"/>
      <c r="AJ71" s="2797"/>
      <c r="AK71" s="2797"/>
      <c r="AL71" s="2797"/>
      <c r="AM71" s="2797"/>
      <c r="AN71" s="2797"/>
      <c r="AO71" s="2797"/>
      <c r="AP71" s="2797"/>
      <c r="AQ71" s="2797"/>
      <c r="AW71" s="1667">
        <v>18</v>
      </c>
    </row>
    <row customHeight="1" ht="22.5" hidden="1">
      <c r="A72" s="1667" t="s">
        <v>84</v>
      </c>
      <c r="B72" s="1667">
        <v>0</v>
      </c>
      <c r="C72" s="1667">
        <v>0</v>
      </c>
      <c r="D72" s="1667">
        <v>0</v>
      </c>
      <c r="E72" s="1667">
        <v>0</v>
      </c>
      <c r="F72" s="1667">
        <v>0</v>
      </c>
      <c r="G72" s="1667">
        <v>0</v>
      </c>
      <c r="H72" s="1667">
        <v>0</v>
      </c>
      <c r="I72" s="1667">
        <v>0</v>
      </c>
      <c r="J72" s="1667">
        <v>0</v>
      </c>
      <c r="K72" s="1667">
        <v>0</v>
      </c>
      <c r="L72" s="1667">
        <v>0</v>
      </c>
      <c r="M72" s="1839">
        <v>0</v>
      </c>
      <c r="N72" s="1840">
        <v>0</v>
      </c>
      <c r="O72" s="1840">
        <v>0</v>
      </c>
      <c r="P72" s="1840">
        <v>0</v>
      </c>
      <c r="Q72" s="1840">
        <v>0</v>
      </c>
      <c r="R72" s="856">
        <v>3</v>
      </c>
      <c r="S72" s="856">
        <v>3</v>
      </c>
      <c r="T72" s="856">
        <v>3</v>
      </c>
      <c r="U72" s="1093">
        <v>12</v>
      </c>
      <c r="V72" s="1667">
        <v>31</v>
      </c>
      <c r="W72" s="1667">
        <v>0</v>
      </c>
      <c r="X72" s="1667">
        <v>0</v>
      </c>
      <c r="Y72" s="1667">
        <v>0</v>
      </c>
      <c r="Z72" s="1667">
        <v>0</v>
      </c>
      <c r="AA72" s="1667">
        <v>0</v>
      </c>
      <c r="AB72" s="1667">
        <v>0</v>
      </c>
      <c r="AC72" s="1667">
        <v>0</v>
      </c>
      <c r="AD72" s="1667">
        <v>0</v>
      </c>
      <c r="AE72" s="1667">
        <v>0</v>
      </c>
      <c r="AF72" s="1667">
        <v>0</v>
      </c>
      <c r="AG72" s="1667">
        <v>21</v>
      </c>
      <c r="AH72" s="1667">
        <v>21</v>
      </c>
      <c r="AI72" s="1667">
        <v>21</v>
      </c>
      <c r="AJ72" s="1667">
        <v>21</v>
      </c>
      <c r="AK72" s="1667">
        <v>21</v>
      </c>
      <c r="AL72" s="1667">
        <v>11</v>
      </c>
      <c r="AM72" s="1667">
        <v>3</v>
      </c>
      <c r="AN72" s="1667">
        <v>11</v>
      </c>
      <c r="AO72" s="1667">
        <v>8</v>
      </c>
      <c r="AP72" s="1667">
        <v>4</v>
      </c>
      <c r="AQ72" s="1667">
        <v>115</v>
      </c>
      <c r="AR72" s="1023">
        <v>10</v>
      </c>
      <c r="AS72" s="1023">
        <v>10</v>
      </c>
      <c r="AT72" s="1023">
        <v>10</v>
      </c>
      <c r="AU72" s="1023">
        <v>10</v>
      </c>
      <c r="AV72" s="1023">
        <v>10</v>
      </c>
      <c r="AW72" s="166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C49BD71-C9C2-CE98-302E-C832ED40D347}" mc:Ignorable="x14ac xr xr2 xr3">
  <sheetPr>
    <tabColor rgb="FFCCCCFF"/>
  </sheetPr>
  <dimension ref="A1:Q79"/>
  <sheetViews>
    <sheetView topLeftCell="A1" showGridLines="0" zoomScale="90" workbookViewId="0">
      <selection activeCell="F28" sqref="F28"/>
    </sheetView>
  </sheetViews>
  <sheetFormatPr defaultColWidth="9.140625" customHeight="1" defaultRowHeight="11.25"/>
  <cols>
    <col min="1" max="1" style="50876" width="10.7109375" hidden="1" customWidth="1"/>
    <col min="2" max="2" style="50877" width="10.7109375" hidden="1" customWidth="1"/>
    <col min="3" max="3" style="50878" width="3.00390625" customWidth="1"/>
    <col min="4" max="4" style="50801" width="1.00390625" customWidth="1"/>
    <col min="5" max="6" style="50801" width="55.00390625" customWidth="1"/>
    <col min="7" max="7" style="50879" width="1.00390625" customWidth="1"/>
    <col min="8" max="8" style="50801" width="18.00390625" hidden="1" customWidth="1"/>
    <col min="9" max="9" style="50880" width="59.00390625" customWidth="1"/>
    <col min="10" max="10" style="50881" width="52.140625" hidden="1" customWidth="1"/>
    <col min="11" max="11" style="50801" width="8.00390625" customWidth="1"/>
    <col min="12" max="12" style="50801" width="77.00390625" customWidth="1"/>
    <col min="13" max="16" style="50801" width="8.00390625" customWidth="1"/>
    <col min="17" max="17" style="50801" width="12.00390625" hidden="1" customWidth="1"/>
  </cols>
  <sheetData>
    <row s="50758" customFormat="1" customHeight="1" ht="3">
      <c r="A1" s="1295"/>
      <c r="B1" s="753"/>
      <c r="F1" s="754" t="s">
        <v>13</v>
      </c>
      <c r="G1" s="923"/>
      <c r="H1" s="583"/>
      <c r="I1" s="923"/>
      <c r="J1" s="1383"/>
      <c r="Q1" s="754" t="s">
        <v>14</v>
      </c>
    </row>
    <row s="50765" customFormat="1" customHeight="1" ht="14.25">
      <c r="A2" s="1295"/>
      <c r="B2" s="610"/>
      <c r="E2" s="2252" t="str">
        <f>code</f>
        <v>Код отчёта: PP108.OPEN.INFO.PRICE.COLDVSNA.EIAS</v>
      </c>
      <c r="F2" s="781"/>
      <c r="G2" s="757"/>
      <c r="H2" s="757"/>
      <c r="I2" s="757"/>
      <c r="J2" s="1384"/>
      <c r="K2" s="757"/>
      <c r="Q2" s="583">
        <v>14</v>
      </c>
    </row>
    <row customHeight="1" ht="14.699999999999998">
      <c r="E3" s="758" t="str">
        <f>version</f>
        <v>Версия отчёта: 1.1.1</v>
      </c>
      <c r="F3" s="781"/>
      <c r="G3" s="1282"/>
      <c r="H3" s="1282"/>
      <c r="I3" s="1282"/>
      <c r="J3" s="1385"/>
      <c r="K3" s="600"/>
      <c r="Q3" s="586">
        <v>14</v>
      </c>
    </row>
    <row s="50776" customFormat="1" customHeight="1" ht="6.3">
      <c r="A4" s="1296"/>
      <c r="B4" s="744"/>
      <c r="C4" s="745"/>
      <c r="D4" s="746"/>
      <c r="E4" s="755"/>
      <c r="F4" s="756"/>
      <c r="G4" s="1283"/>
      <c r="H4" s="921"/>
      <c r="I4" s="923"/>
      <c r="J4" s="1386"/>
      <c r="Q4" s="748">
        <v>6</v>
      </c>
    </row>
    <row customHeight="1" ht="39.75">
      <c r="D5" s="587"/>
      <c r="E5" s="2607" t="str">
        <f>NameTemplatesInTitle</f>
        <v>Показатели, подлежащие раскрытию в сфере холодного водоснабжения (цены и тарифы)</v>
      </c>
      <c r="F5" s="2608"/>
      <c r="G5" s="1284"/>
      <c r="J5" s="1387"/>
      <c r="Q5" s="586">
        <v>38</v>
      </c>
    </row>
    <row s="50776" customFormat="1" customHeight="1" ht="6.3">
      <c r="A6" s="1296"/>
      <c r="B6" s="744"/>
      <c r="C6" s="745"/>
      <c r="D6" s="746"/>
      <c r="E6" s="749"/>
      <c r="F6" s="750"/>
      <c r="G6" s="1284"/>
      <c r="H6" s="921"/>
      <c r="I6" s="923"/>
      <c r="J6" s="1386"/>
      <c r="Q6" s="748">
        <v>6</v>
      </c>
    </row>
    <row customHeight="1" ht="21">
      <c r="D7" s="587"/>
      <c r="E7" s="903" t="s">
        <v>15</v>
      </c>
      <c r="F7" s="727" t="s">
        <v>16</v>
      </c>
      <c r="G7" s="1284"/>
      <c r="Q7" s="586">
        <v>20</v>
      </c>
    </row>
    <row s="50776" customFormat="1" customHeight="1" ht="6.3">
      <c r="A8" s="1297"/>
      <c r="B8" s="744"/>
      <c r="C8" s="745"/>
      <c r="D8" s="751"/>
      <c r="E8" s="749"/>
      <c r="F8" s="752"/>
      <c r="G8" s="589"/>
      <c r="H8" s="921"/>
      <c r="I8" s="923"/>
      <c r="J8" s="1389"/>
      <c r="Q8" s="748">
        <v>6</v>
      </c>
    </row>
    <row s="50801" customFormat="1" customHeight="1" ht="19.5" hidden="1">
      <c r="A9" s="1296"/>
      <c r="B9" s="610"/>
      <c r="C9" s="920"/>
      <c r="D9" s="922"/>
      <c r="E9" s="1677" t="s">
        <v>17</v>
      </c>
      <c r="F9" s="2433"/>
      <c r="G9" s="1284"/>
      <c r="I9" s="2412" t="str">
        <f>IF(TITLE_STRUCTURE_INFO_ROIV="","","раскрывается "&amp;INDEX(ROIV_INFO_COMMENT,MATCH(TITLE_STRUCTURE_INFO_ROIV,ROIV_INFO_LIST,0)))</f>
        <v/>
      </c>
      <c r="J9" s="1388"/>
      <c r="Q9" s="921">
        <v>0</v>
      </c>
    </row>
    <row s="50776" customFormat="1" customHeight="1" ht="24" hidden="1">
      <c r="A10" s="1297"/>
      <c r="B10" s="938"/>
      <c r="C10" s="939"/>
      <c r="D10" s="751"/>
      <c r="E10" s="1677" t="s">
        <v>18</v>
      </c>
      <c r="F10" s="2578" t="s">
        <v>19</v>
      </c>
      <c r="G10" s="589"/>
      <c r="H10" s="921"/>
      <c r="I10" s="923"/>
      <c r="J10" s="1389"/>
      <c r="Q10" s="942">
        <v>24</v>
      </c>
    </row>
    <row customHeight="1" ht="22.5">
      <c r="A11" s="2610" t="s">
        <v>20</v>
      </c>
      <c r="D11" s="587"/>
      <c r="E11" s="1677" t="s">
        <v>21</v>
      </c>
      <c r="F11" s="16563">
        <v>45292.52027777778</v>
      </c>
      <c r="G11" s="589"/>
      <c r="H11" s="1285" t="s">
        <v>22</v>
      </c>
      <c r="J11" s="1388" t="s">
        <v>23</v>
      </c>
      <c r="Q11" s="586">
        <v>0</v>
      </c>
    </row>
    <row customHeight="1" ht="22.5">
      <c r="A12" s="2610"/>
      <c r="D12" s="587"/>
      <c r="E12" s="1677" t="s">
        <v>24</v>
      </c>
      <c r="F12" s="16563">
        <v>47118.5203587963</v>
      </c>
      <c r="G12" s="585"/>
      <c r="J12" s="1388" t="s">
        <v>25</v>
      </c>
      <c r="Q12" s="586">
        <v>0</v>
      </c>
    </row>
    <row s="50801" customFormat="1" customHeight="1" ht="22.5" hidden="1">
      <c r="A13" s="1300" t="s">
        <v>26</v>
      </c>
      <c r="B13" s="610"/>
      <c r="C13" s="920"/>
      <c r="D13" s="922"/>
      <c r="E13" s="2287" t="s">
        <v>27</v>
      </c>
      <c r="F13" s="2244" t="s">
        <v>28</v>
      </c>
      <c r="G13" s="589"/>
      <c r="H13" s="1282"/>
      <c r="I13" s="923"/>
      <c r="J13" s="2288" t="s">
        <v>29</v>
      </c>
      <c r="Q13" s="921">
        <v>0</v>
      </c>
    </row>
    <row s="50801" customFormat="1" customHeight="1" ht="27" hidden="1">
      <c r="A14" s="1300" t="s">
        <v>30</v>
      </c>
      <c r="B14" s="610"/>
      <c r="C14" s="920"/>
      <c r="D14" s="922"/>
      <c r="E14" s="1677" t="s">
        <v>31</v>
      </c>
      <c r="F14" s="2279"/>
      <c r="G14" s="589"/>
      <c r="H14" s="1282"/>
      <c r="I14" s="923"/>
      <c r="J14" s="1388" t="s">
        <v>32</v>
      </c>
      <c r="Q14" s="921">
        <v>0</v>
      </c>
    </row>
    <row s="50801" customFormat="1" customHeight="1" ht="19.5" hidden="1">
      <c r="A15" s="1300" t="s">
        <v>33</v>
      </c>
      <c r="B15" s="610"/>
      <c r="C15" s="920"/>
      <c r="D15" s="922"/>
      <c r="E15" s="1677" t="s">
        <v>34</v>
      </c>
      <c r="F15" s="2279"/>
      <c r="G15" s="589"/>
      <c r="H15" s="1282"/>
      <c r="I15" s="923"/>
      <c r="J15" s="1388" t="s">
        <v>35</v>
      </c>
      <c r="Q15" s="921">
        <v>0</v>
      </c>
    </row>
    <row s="50776" customFormat="1" customHeight="1" ht="6.3">
      <c r="A16" s="1297"/>
      <c r="B16" s="744"/>
      <c r="C16" s="745"/>
      <c r="D16" s="751"/>
      <c r="E16" s="749"/>
      <c r="F16" s="752"/>
      <c r="G16" s="589"/>
      <c r="H16" s="921"/>
      <c r="I16" s="923"/>
      <c r="J16" s="1386"/>
      <c r="Q16" s="748">
        <v>6</v>
      </c>
    </row>
    <row customHeight="1" ht="21">
      <c r="D17" s="587"/>
      <c r="E17" s="903" t="s">
        <v>36</v>
      </c>
      <c r="F17" s="6600" t="s">
        <v>37</v>
      </c>
      <c r="G17" s="585"/>
      <c r="H17" s="1285" t="s">
        <v>22</v>
      </c>
      <c r="Q17" s="586">
        <v>20</v>
      </c>
    </row>
    <row customHeight="1" ht="25.5">
      <c r="D18" s="587"/>
      <c r="E18" s="2287" t="s">
        <v>38</v>
      </c>
      <c r="F18" s="16563">
        <v>45639.71</v>
      </c>
      <c r="G18" s="585"/>
      <c r="I18" s="1286"/>
      <c r="J18" s="2609" t="s">
        <v>39</v>
      </c>
      <c r="Q18" s="586">
        <v>0</v>
      </c>
    </row>
    <row customHeight="1" ht="25.5">
      <c r="D19" s="587"/>
      <c r="E19" s="1677"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63">
        <v>45639.709340277775</v>
      </c>
      <c r="G19" s="585"/>
      <c r="I19" s="1286"/>
      <c r="J19" s="2609"/>
      <c r="Q19" s="586">
        <v>0</v>
      </c>
    </row>
    <row customHeight="1" ht="22.5">
      <c r="D20" s="587"/>
      <c r="E20" s="588"/>
      <c r="F20" s="782" t="str">
        <f>"Первичное "&amp;IF(TEMPLATE_GROUP="P","установление тарифов","предложение по тарифам")</f>
        <v>Первичное установление тарифов</v>
      </c>
      <c r="G20" s="585"/>
      <c r="I20" s="906"/>
      <c r="J20" s="1387" t="s">
        <v>40</v>
      </c>
      <c r="Q20" s="586">
        <v>0</v>
      </c>
    </row>
    <row customHeight="1" ht="19.5">
      <c r="D21" s="587"/>
      <c r="E21" s="903" t="str">
        <f>"Дата "&amp;IF(TEMPLATE_GROUP="P","документа","подачи заявления")&amp;" об утверждении тарифов"</f>
        <v>Дата документа об утверждении тарифов</v>
      </c>
      <c r="F21" s="16563">
        <v>45280.521099537036</v>
      </c>
      <c r="G21" s="585"/>
      <c r="I21" s="1287"/>
      <c r="Q21" s="586">
        <v>0</v>
      </c>
    </row>
    <row customHeight="1" ht="19.5">
      <c r="D22" s="587"/>
      <c r="E22" s="903" t="str">
        <f>"Номер "&amp;IF(TEMPLATE_GROUP="P","документа","подачи заявления")&amp;" об утверждении тарифов"</f>
        <v>Номер документа об утверждении тарифов</v>
      </c>
      <c r="F22" s="728" t="s">
        <v>41</v>
      </c>
      <c r="G22" s="585"/>
      <c r="I22" s="1287"/>
      <c r="Q22" s="586">
        <v>0</v>
      </c>
    </row>
    <row customHeight="1" ht="22.5">
      <c r="D23" s="587"/>
      <c r="E23" s="903" t="s">
        <v>42</v>
      </c>
      <c r="F23" s="728" t="s">
        <v>43</v>
      </c>
      <c r="G23" s="585"/>
      <c r="Q23" s="586">
        <v>0</v>
      </c>
    </row>
    <row customHeight="1" ht="19.5">
      <c r="D24" s="587"/>
      <c r="E24" s="903" t="s">
        <v>44</v>
      </c>
      <c r="F24" s="16579" t="s">
        <v>45</v>
      </c>
      <c r="G24" s="585"/>
      <c r="Q24" s="586">
        <v>0</v>
      </c>
    </row>
    <row customHeight="1" ht="22.5">
      <c r="D25" s="587"/>
      <c r="E25" s="588"/>
      <c r="F25" s="782" t="str">
        <f>"Изменение "&amp;IF(TEMPLATE_GROUP="P","тарифов","предложения по тарифам")</f>
        <v>Изменение тарифов</v>
      </c>
      <c r="G25" s="585"/>
      <c r="J25" s="1387" t="s">
        <v>46</v>
      </c>
      <c r="Q25" s="586">
        <v>0</v>
      </c>
    </row>
    <row customHeight="1" ht="19.5">
      <c r="D26" s="587"/>
      <c r="E26" s="903" t="str">
        <f>"Дата "&amp;IF(TEMPLATE_GROUP="P","принятия решения","подачи заявления")&amp;" об изменении тарифов"</f>
        <v>Дата принятия решения об изменении тарифов</v>
      </c>
      <c r="F26" s="6601">
        <v>45631.710694444446</v>
      </c>
      <c r="G26" s="585"/>
      <c r="Q26" s="586">
        <v>0</v>
      </c>
    </row>
    <row customHeight="1" ht="19.5">
      <c r="D27" s="587"/>
      <c r="E27" s="1677" t="str">
        <f>"Номер "&amp;IF(TEMPLATE_GROUP="P","принятия решения","заявления")&amp;" об изменении тарифов"</f>
        <v>Номер принятия решения об изменении тарифов</v>
      </c>
      <c r="F27" s="6609" t="s">
        <v>47</v>
      </c>
      <c r="G27" s="585"/>
      <c r="Q27" s="586">
        <v>0</v>
      </c>
    </row>
    <row customHeight="1" ht="24.75">
      <c r="D28" s="587"/>
      <c r="E28" s="903" t="s">
        <v>48</v>
      </c>
      <c r="F28" s="6609" t="s">
        <v>43</v>
      </c>
      <c r="G28" s="585"/>
      <c r="Q28" s="586">
        <v>0</v>
      </c>
    </row>
    <row customHeight="1" ht="19.5">
      <c r="D29" s="587"/>
      <c r="E29" s="903" t="s">
        <v>44</v>
      </c>
      <c r="F29" s="16582" t="s">
        <v>45</v>
      </c>
      <c r="G29" s="585"/>
      <c r="Q29" s="586">
        <v>0</v>
      </c>
    </row>
    <row s="50776" customFormat="1" customHeight="1" ht="6.3">
      <c r="A30" s="1297"/>
      <c r="B30" s="744"/>
      <c r="C30" s="745"/>
      <c r="D30" s="751"/>
      <c r="E30" s="749"/>
      <c r="F30" s="752"/>
      <c r="G30" s="589"/>
      <c r="H30" s="921"/>
      <c r="I30" s="923"/>
      <c r="J30" s="1386"/>
      <c r="Q30" s="748">
        <v>6</v>
      </c>
    </row>
    <row customHeight="1" ht="21">
      <c r="C31" s="590"/>
      <c r="D31" s="591"/>
      <c r="E31" s="903" t="str">
        <f>"Наименование "&amp;IF(TEMPLATE_GROUP="ROIV","органа тарифного регулирования","ЮЛ / ИП")</f>
        <v>Наименование ЮЛ / ИП</v>
      </c>
      <c r="F31" s="729" t="s">
        <v>49</v>
      </c>
      <c r="G31" s="1288"/>
      <c r="Q31" s="586">
        <v>20</v>
      </c>
    </row>
    <row customHeight="1" ht="21" hidden="1">
      <c r="C32" s="590"/>
      <c r="D32" s="591"/>
      <c r="E32" s="904" t="s">
        <v>50</v>
      </c>
      <c r="F32" s="729"/>
      <c r="G32" s="1288"/>
      <c r="Q32" s="586">
        <v>20</v>
      </c>
    </row>
    <row customHeight="1" ht="21">
      <c r="C33" s="590"/>
      <c r="D33" s="591"/>
      <c r="E33" s="903" t="s">
        <v>51</v>
      </c>
      <c r="F33" s="729" t="s">
        <v>52</v>
      </c>
      <c r="G33" s="1288"/>
      <c r="Q33" s="586">
        <v>20</v>
      </c>
    </row>
    <row customHeight="1" ht="21">
      <c r="C34" s="590"/>
      <c r="D34" s="591"/>
      <c r="E34" s="903" t="s">
        <v>53</v>
      </c>
      <c r="F34" s="729" t="s">
        <v>54</v>
      </c>
      <c r="G34" s="1288"/>
      <c r="H34" s="592"/>
      <c r="Q34" s="586">
        <v>20</v>
      </c>
    </row>
    <row s="50776" customFormat="1" customHeight="1" ht="11.549999999999999">
      <c r="A35" s="1297"/>
      <c r="B35" s="744"/>
      <c r="C35" s="745"/>
      <c r="D35" s="751"/>
      <c r="E35" s="749"/>
      <c r="F35" s="752"/>
      <c r="G35" s="589"/>
      <c r="H35" s="921"/>
      <c r="I35" s="923"/>
      <c r="J35" s="1386"/>
      <c r="Q35" s="748">
        <v>11</v>
      </c>
    </row>
    <row customHeight="1" ht="19.5" hidden="1">
      <c r="A36" s="1391"/>
      <c r="D36" s="591"/>
      <c r="E36" s="903" t="s">
        <v>55</v>
      </c>
      <c r="F36" s="860"/>
      <c r="G36" s="589"/>
      <c r="Q36" s="586">
        <v>0</v>
      </c>
    </row>
    <row customHeight="1" ht="21">
      <c r="A37" s="1391"/>
      <c r="D37" s="591"/>
      <c r="E37" s="903" t="s">
        <v>56</v>
      </c>
      <c r="F37" s="3267" t="s">
        <v>57</v>
      </c>
      <c r="G37" s="589"/>
      <c r="Q37" s="586">
        <v>20</v>
      </c>
    </row>
    <row s="50776" customFormat="1" customHeight="1" ht="6.3">
      <c r="A38" s="1297"/>
      <c r="B38" s="744"/>
      <c r="C38" s="745"/>
      <c r="D38" s="746"/>
      <c r="E38" s="747"/>
      <c r="F38" s="1565"/>
      <c r="G38" s="585"/>
      <c r="H38" s="921"/>
      <c r="I38" s="923"/>
      <c r="J38" s="1388"/>
      <c r="Q38" s="748">
        <v>6</v>
      </c>
    </row>
    <row customHeight="1" ht="36.75">
      <c r="A39" s="1297"/>
      <c r="D39" s="587"/>
      <c r="E39" s="903" t="s">
        <v>58</v>
      </c>
      <c r="F39" s="1222" t="s">
        <v>19</v>
      </c>
      <c r="G39" s="585"/>
      <c r="H39" s="1285" t="s">
        <v>22</v>
      </c>
      <c r="Q39" s="586">
        <v>35</v>
      </c>
    </row>
    <row s="50776" customFormat="1" customHeight="1" ht="6" hidden="1">
      <c r="A40" s="1296"/>
      <c r="B40" s="938"/>
      <c r="C40" s="939"/>
      <c r="D40" s="940"/>
      <c r="E40" s="941"/>
      <c r="F40" s="1565"/>
      <c r="G40" s="585"/>
      <c r="H40" s="921"/>
      <c r="I40" s="923"/>
      <c r="J40" s="1388"/>
      <c r="Q40" s="942">
        <v>6</v>
      </c>
    </row>
    <row s="50801" customFormat="1" customHeight="1" ht="26.25" hidden="1">
      <c r="A41" s="1300" t="s">
        <v>26</v>
      </c>
      <c r="B41" s="925"/>
      <c r="C41" s="920"/>
      <c r="D41" s="922"/>
      <c r="E41" s="903"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222" t="s">
        <v>19</v>
      </c>
      <c r="G41" s="585"/>
      <c r="I41" s="923"/>
      <c r="J41" s="1388"/>
      <c r="Q41" s="921">
        <v>0</v>
      </c>
    </row>
    <row s="50776" customFormat="1" customHeight="1" ht="6" hidden="1">
      <c r="A42" s="1296"/>
      <c r="B42" s="938"/>
      <c r="C42" s="939"/>
      <c r="D42" s="940"/>
      <c r="E42" s="941"/>
      <c r="F42" s="1565"/>
      <c r="G42" s="585"/>
      <c r="H42" s="921"/>
      <c r="I42" s="923"/>
      <c r="J42" s="1386"/>
      <c r="Q42" s="942">
        <v>0</v>
      </c>
    </row>
    <row s="50801" customFormat="1" customHeight="1" ht="27" hidden="1">
      <c r="A43" s="1296"/>
      <c r="B43" s="925"/>
      <c r="C43" s="920"/>
      <c r="D43" s="922"/>
      <c r="E43" s="903" t="s">
        <v>59</v>
      </c>
      <c r="F43" s="1222" t="s">
        <v>19</v>
      </c>
      <c r="G43" s="585"/>
      <c r="I43" s="923"/>
      <c r="J43" s="1388"/>
      <c r="Q43" s="921">
        <v>0</v>
      </c>
    </row>
    <row s="50801" customFormat="1" customHeight="1" ht="27" hidden="1">
      <c r="A44" s="1296"/>
      <c r="B44" s="925"/>
      <c r="C44" s="920"/>
      <c r="D44" s="922"/>
      <c r="E44" s="1677" t="s">
        <v>60</v>
      </c>
      <c r="F44" s="2400"/>
      <c r="G44" s="585"/>
      <c r="I44" s="923"/>
      <c r="J44" s="1388"/>
      <c r="Q44" s="921">
        <v>0</v>
      </c>
    </row>
    <row s="50776" customFormat="1" customHeight="1" ht="6" hidden="1">
      <c r="A45" s="1296"/>
      <c r="B45" s="938"/>
      <c r="C45" s="939"/>
      <c r="D45" s="940"/>
      <c r="E45" s="941"/>
      <c r="F45" s="1565"/>
      <c r="G45" s="585"/>
      <c r="H45" s="921"/>
      <c r="I45" s="923"/>
      <c r="J45" s="1388"/>
      <c r="Q45" s="942">
        <v>0</v>
      </c>
    </row>
    <row s="50776" customFormat="1" customHeight="1" ht="24.75" hidden="1">
      <c r="A46" s="1296"/>
      <c r="B46" s="938"/>
      <c r="C46" s="939"/>
      <c r="D46" s="940"/>
      <c r="E46" s="1677" t="s">
        <v>61</v>
      </c>
      <c r="F46" s="1222" t="s">
        <v>19</v>
      </c>
      <c r="G46" s="585"/>
      <c r="H46" s="921"/>
      <c r="I46" s="923"/>
      <c r="J46" s="1388"/>
      <c r="Q46" s="942">
        <v>0</v>
      </c>
    </row>
    <row s="50801" customFormat="1" customHeight="1" ht="24.75" hidden="1">
      <c r="A47" s="1296"/>
      <c r="B47" s="925"/>
      <c r="C47" s="920"/>
      <c r="D47" s="922"/>
      <c r="E47" s="1677" t="s">
        <v>62</v>
      </c>
      <c r="F47" s="1222" t="s">
        <v>19</v>
      </c>
      <c r="G47" s="585"/>
      <c r="I47" s="923"/>
      <c r="J47" s="1388"/>
      <c r="Q47" s="921">
        <v>0</v>
      </c>
    </row>
    <row s="50776" customFormat="1" customHeight="1" ht="6">
      <c r="A48" s="1296"/>
      <c r="B48" s="744"/>
      <c r="C48" s="745"/>
      <c r="D48" s="746"/>
      <c r="E48" s="747"/>
      <c r="F48" s="1565"/>
      <c r="G48" s="585"/>
      <c r="H48" s="921"/>
      <c r="I48" s="923"/>
      <c r="J48" s="1388"/>
      <c r="Q48" s="748">
        <v>0</v>
      </c>
    </row>
    <row customHeight="1" ht="29.25">
      <c r="B49" s="660"/>
      <c r="D49" s="587"/>
      <c r="E49" s="9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222" t="s">
        <v>63</v>
      </c>
      <c r="G49" s="585"/>
      <c r="Q49" s="586">
        <v>0</v>
      </c>
    </row>
    <row s="50776" customFormat="1" customHeight="1" ht="6" hidden="1">
      <c r="A50" s="1297"/>
      <c r="B50" s="938"/>
      <c r="C50" s="939"/>
      <c r="D50" s="751"/>
      <c r="E50" s="749"/>
      <c r="F50" s="752"/>
      <c r="G50" s="589"/>
      <c r="H50" s="921"/>
      <c r="I50" s="923"/>
      <c r="J50" s="1388"/>
      <c r="Q50" s="942">
        <v>0</v>
      </c>
    </row>
    <row s="50801" customFormat="1" customHeight="1" ht="28.5" hidden="1">
      <c r="A51" s="1298"/>
      <c r="B51" s="925"/>
      <c r="C51" s="1042"/>
      <c r="D51" s="1043"/>
      <c r="E51" s="903" t="s">
        <v>64</v>
      </c>
      <c r="F51" s="1222" t="s">
        <v>19</v>
      </c>
      <c r="G51" s="1044"/>
      <c r="I51" s="1046"/>
      <c r="J51" s="1390"/>
      <c r="P51" s="1047"/>
      <c r="Q51" s="1045">
        <v>0</v>
      </c>
    </row>
    <row s="50776" customFormat="1" customHeight="1" ht="6" hidden="1">
      <c r="A52" s="1297"/>
      <c r="B52" s="938"/>
      <c r="C52" s="939"/>
      <c r="D52" s="751"/>
      <c r="E52" s="749"/>
      <c r="F52" s="752"/>
      <c r="G52" s="589"/>
      <c r="H52" s="921"/>
      <c r="I52" s="923"/>
      <c r="J52" s="1386"/>
      <c r="Q52" s="942">
        <v>0</v>
      </c>
    </row>
    <row s="50801" customFormat="1" customHeight="1" ht="27" hidden="1">
      <c r="A53" s="1298"/>
      <c r="B53" s="925"/>
      <c r="C53" s="1042"/>
      <c r="D53" s="1043"/>
      <c r="E53" s="903" t="s">
        <v>65</v>
      </c>
      <c r="F53" s="1560" t="s">
        <v>19</v>
      </c>
      <c r="G53" s="1044"/>
      <c r="I53" s="1046"/>
      <c r="J53" s="1390"/>
      <c r="P53" s="1047"/>
      <c r="Q53" s="1045">
        <v>0</v>
      </c>
    </row>
    <row s="50801" customFormat="1" customHeight="1" ht="27" hidden="1">
      <c r="A54" s="1298"/>
      <c r="B54" s="925"/>
      <c r="C54" s="1042"/>
      <c r="D54" s="1043"/>
      <c r="E54" s="903" t="s">
        <v>66</v>
      </c>
      <c r="F54" s="2286"/>
      <c r="G54" s="1044"/>
      <c r="I54" s="1046"/>
      <c r="J54" s="1390"/>
      <c r="P54" s="1047"/>
      <c r="Q54" s="1045">
        <v>0</v>
      </c>
    </row>
    <row s="50776" customFormat="1" customHeight="1" ht="6" hidden="1">
      <c r="A55" s="1297"/>
      <c r="B55" s="938"/>
      <c r="C55" s="939"/>
      <c r="D55" s="751"/>
      <c r="E55" s="749"/>
      <c r="F55" s="752"/>
      <c r="G55" s="589"/>
      <c r="H55" s="921"/>
      <c r="I55" s="923"/>
      <c r="J55" s="1386"/>
      <c r="Q55" s="942">
        <v>0</v>
      </c>
    </row>
    <row s="50801" customFormat="1" customHeight="1" ht="25.5" hidden="1">
      <c r="A56" s="1298"/>
      <c r="B56" s="925"/>
      <c r="C56" s="1042"/>
      <c r="D56" s="1043"/>
      <c r="E56" s="903" t="s">
        <v>67</v>
      </c>
      <c r="F56" s="1560" t="s">
        <v>19</v>
      </c>
      <c r="G56" s="1044"/>
      <c r="I56" s="1046"/>
      <c r="J56" s="1390"/>
      <c r="P56" s="1047"/>
      <c r="Q56" s="1045">
        <v>0</v>
      </c>
    </row>
    <row s="50776" customFormat="1" customHeight="1" ht="6" hidden="1">
      <c r="A57" s="1297"/>
      <c r="B57" s="938"/>
      <c r="C57" s="939"/>
      <c r="D57" s="751"/>
      <c r="E57" s="749"/>
      <c r="F57" s="752"/>
      <c r="G57" s="589"/>
      <c r="H57" s="921"/>
      <c r="I57" s="923"/>
      <c r="J57" s="1386"/>
      <c r="Q57" s="942">
        <v>0</v>
      </c>
    </row>
    <row s="50801" customFormat="1" customHeight="1" ht="15" hidden="1">
      <c r="A58" s="1298"/>
      <c r="B58" s="925"/>
      <c r="C58" s="1042"/>
      <c r="D58" s="1043"/>
      <c r="E58" s="903" t="s">
        <v>68</v>
      </c>
      <c r="F58" s="1560" t="s">
        <v>63</v>
      </c>
      <c r="G58" s="1044"/>
      <c r="I58" s="1046"/>
      <c r="J58" s="1390"/>
      <c r="P58" s="1047"/>
      <c r="Q58" s="1045">
        <v>0</v>
      </c>
    </row>
    <row s="50801" customFormat="1" customHeight="1" ht="75" hidden="1">
      <c r="A59" s="1298"/>
      <c r="B59" s="925"/>
      <c r="C59" s="1042"/>
      <c r="D59" s="1043"/>
      <c r="E59" s="9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701"/>
      <c r="G59" s="1044"/>
      <c r="I59" s="1046"/>
      <c r="J59" s="1390"/>
      <c r="P59" s="1047"/>
      <c r="Q59" s="1045">
        <v>0</v>
      </c>
    </row>
    <row s="50801" customFormat="1" customHeight="1" ht="15" hidden="1">
      <c r="A60" s="1298"/>
      <c r="B60" s="925"/>
      <c r="C60" s="1042"/>
      <c r="D60" s="1043"/>
      <c r="E60" s="1677" t="s">
        <v>69</v>
      </c>
      <c r="F60" s="1663"/>
      <c r="G60" s="1044"/>
      <c r="I60" s="1046"/>
      <c r="J60" s="1390"/>
      <c r="P60" s="1047"/>
      <c r="Q60" s="1045">
        <v>0</v>
      </c>
    </row>
    <row s="50776" customFormat="1" customHeight="1" ht="6" hidden="1">
      <c r="A61" s="1297"/>
      <c r="B61" s="938"/>
      <c r="C61" s="939"/>
      <c r="D61" s="940"/>
      <c r="E61" s="941"/>
      <c r="F61" s="1565"/>
      <c r="G61" s="585"/>
      <c r="H61" s="921"/>
      <c r="I61" s="923"/>
      <c r="J61" s="1388"/>
      <c r="Q61" s="942">
        <v>0</v>
      </c>
    </row>
    <row s="50801" customFormat="1" customHeight="1" ht="33.75" hidden="1">
      <c r="A62" s="1297"/>
      <c r="B62" s="610"/>
      <c r="C62" s="920"/>
      <c r="D62" s="922"/>
      <c r="E62" s="1677" t="s">
        <v>70</v>
      </c>
      <c r="F62" s="2183" t="s">
        <v>63</v>
      </c>
      <c r="G62" s="585"/>
      <c r="H62" s="1285" t="s">
        <v>22</v>
      </c>
      <c r="I62" s="923"/>
      <c r="J62" s="1388"/>
      <c r="Q62" s="921">
        <v>0</v>
      </c>
    </row>
    <row s="50776" customFormat="1" customHeight="1" ht="6.3">
      <c r="A63" s="1297"/>
      <c r="B63" s="744"/>
      <c r="C63" s="745"/>
      <c r="D63" s="751"/>
      <c r="E63" s="749"/>
      <c r="F63" s="752"/>
      <c r="G63" s="589"/>
      <c r="H63" s="921"/>
      <c r="I63" s="923"/>
      <c r="J63" s="1386"/>
      <c r="Q63" s="748">
        <v>6</v>
      </c>
    </row>
    <row customHeight="1" ht="21">
      <c r="A64" s="1299"/>
      <c r="B64" s="611"/>
      <c r="D64" s="594"/>
      <c r="E64" s="903" t="s">
        <v>71</v>
      </c>
      <c r="F64" s="728" t="s">
        <v>72</v>
      </c>
      <c r="G64" s="589"/>
      <c r="Q64" s="586">
        <v>20</v>
      </c>
    </row>
    <row customHeight="1" ht="21">
      <c r="A65" s="1299"/>
      <c r="B65" s="611"/>
      <c r="D65" s="594"/>
      <c r="E65" s="903" t="s">
        <v>73</v>
      </c>
      <c r="F65" s="728" t="s">
        <v>74</v>
      </c>
      <c r="G65" s="589"/>
      <c r="Q65" s="586">
        <v>20</v>
      </c>
    </row>
    <row customHeight="1" ht="36.75">
      <c r="D66" s="587"/>
      <c r="E66" s="905" t="s">
        <v>75</v>
      </c>
      <c r="F66" s="1566"/>
      <c r="G66" s="585"/>
      <c r="Q66" s="586">
        <v>35</v>
      </c>
    </row>
    <row customHeight="1" ht="21">
      <c r="A67" s="1299"/>
      <c r="D67" s="922"/>
      <c r="E67" s="903" t="s">
        <v>76</v>
      </c>
      <c r="F67" s="783" t="s">
        <v>77</v>
      </c>
      <c r="G67" s="589"/>
      <c r="Q67" s="586">
        <v>20</v>
      </c>
    </row>
    <row customHeight="1" ht="21">
      <c r="A68" s="1299"/>
      <c r="B68" s="611"/>
      <c r="D68" s="594"/>
      <c r="E68" s="903" t="s">
        <v>78</v>
      </c>
      <c r="F68" s="783" t="s">
        <v>79</v>
      </c>
      <c r="G68" s="589"/>
      <c r="Q68" s="586">
        <v>20</v>
      </c>
    </row>
    <row customHeight="1" ht="21">
      <c r="A69" s="1299"/>
      <c r="B69" s="611"/>
      <c r="D69" s="594"/>
      <c r="E69" s="903" t="s">
        <v>80</v>
      </c>
      <c r="F69" s="783" t="s">
        <v>81</v>
      </c>
      <c r="G69" s="589"/>
      <c r="Q69" s="586">
        <v>20</v>
      </c>
    </row>
    <row customHeight="1" ht="21">
      <c r="D70" s="922"/>
      <c r="E70" s="903" t="s">
        <v>82</v>
      </c>
      <c r="F70" s="783" t="s">
        <v>83</v>
      </c>
      <c r="G70" s="585"/>
      <c r="Q70" s="586">
        <v>20</v>
      </c>
    </row>
    <row customHeight="1" ht="21">
      <c r="A71" s="1299"/>
      <c r="D71" s="585"/>
      <c r="F71" s="645"/>
      <c r="G71" s="589"/>
      <c r="Q71" s="586">
        <v>20</v>
      </c>
    </row>
    <row customHeight="1" ht="21">
      <c r="A72" s="1299"/>
      <c r="B72" s="611"/>
      <c r="D72" s="594"/>
      <c r="E72" s="593"/>
      <c r="F72" s="1545" t="s">
        <v>13</v>
      </c>
      <c r="G72" s="589"/>
      <c r="Q72" s="586">
        <v>20</v>
      </c>
    </row>
    <row customHeight="1" ht="21">
      <c r="A73" s="1299"/>
      <c r="B73" s="611"/>
      <c r="D73" s="594"/>
      <c r="E73" s="593"/>
      <c r="F73" s="646"/>
      <c r="G73" s="589"/>
      <c r="Q73" s="586">
        <v>20</v>
      </c>
    </row>
    <row customHeight="1" ht="21">
      <c r="A74" s="1299"/>
      <c r="B74" s="611"/>
      <c r="D74" s="594"/>
      <c r="E74" s="598"/>
      <c r="F74" s="646"/>
      <c r="G74" s="589"/>
      <c r="Q74" s="586">
        <v>20</v>
      </c>
    </row>
    <row customHeight="1" ht="21">
      <c r="A75" s="1299"/>
      <c r="B75" s="611"/>
      <c r="D75" s="594"/>
      <c r="E75" s="593"/>
      <c r="F75" s="646"/>
      <c r="G75" s="589"/>
      <c r="Q75" s="586">
        <v>20</v>
      </c>
    </row>
    <row customHeight="1" ht="11.549999999999999">
      <c r="Q76" s="586">
        <v>11</v>
      </c>
    </row>
    <row customHeight="1" ht="11.549999999999999">
      <c r="Q77" s="586">
        <v>11</v>
      </c>
    </row>
    <row customHeight="1" ht="11.549999999999999">
      <c r="E78" s="902"/>
      <c r="F78" s="902"/>
      <c r="G78" s="902"/>
      <c r="H78" s="902"/>
      <c r="I78" s="902"/>
      <c r="Q78" s="586">
        <v>11</v>
      </c>
    </row>
    <row customHeight="1" ht="11.25" hidden="1">
      <c r="A79" s="1296" t="s">
        <v>84</v>
      </c>
      <c r="B79" s="610">
        <v>0</v>
      </c>
      <c r="C79" s="584">
        <v>3</v>
      </c>
      <c r="D79" s="586">
        <v>1</v>
      </c>
      <c r="E79" s="586">
        <v>55</v>
      </c>
      <c r="F79" s="586">
        <v>54</v>
      </c>
      <c r="G79" s="1283">
        <v>1</v>
      </c>
      <c r="H79" s="921">
        <v>0</v>
      </c>
      <c r="I79" s="923">
        <v>59</v>
      </c>
      <c r="J79" s="1388">
        <v>0</v>
      </c>
      <c r="K79" s="586">
        <v>8</v>
      </c>
      <c r="L79" s="586">
        <v>77</v>
      </c>
      <c r="M79" s="586">
        <v>8</v>
      </c>
      <c r="N79" s="586">
        <v>8</v>
      </c>
      <c r="O79" s="586">
        <v>8</v>
      </c>
      <c r="P79" s="586">
        <v>8</v>
      </c>
      <c r="Q79" s="58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E03A0522-30F4-63C3-9399-35C91B9F8C01}"/>
    <hyperlink ref="H17" location="Титульный!H9" display="Как заполнить?" tooltip="Помощь по работе с полями отчётной формы" xr:uid="{159DC351-D217-1132-6363-CC82D36C35A9}"/>
    <hyperlink ref="F24" r:id="rId4" xr:uid="{01C681FD-77DE-5055-ABF2-82B586FA5A65}"/>
    <hyperlink ref="F29" r:id="rId5" xr:uid="{450B6C48-3BF8-3077-2D7C-D788233678D3}"/>
    <hyperlink ref="H39" location="Титульный!H9" display="Как заполнить?" tooltip="Помощь по работе с полями отчётной формы" xr:uid="{20A76F81-0D0F-A356-208B-AA758E2CA8ED}"/>
    <hyperlink ref="H62" location="Титульный!H9" display="Как заполнить?" tooltip="Помощь по работе с полями отчётной формы" xr:uid="{A0383151-B7AC-B86F-41AF-879614951B4C}"/>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F3D255-8258-4DF5-A8D6-5799C23F28AF}"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7" width="3.00390625" customWidth="1"/>
    <col min="17" max="17" style="51992" width="3.00390625" customWidth="1"/>
    <col min="18" max="18" style="51809" width="3.00390625" customWidth="1"/>
    <col min="19" max="19" style="51810" width="12.00390625" customWidth="1"/>
    <col min="20" max="20" style="50801" width="31.00390625" customWidth="1"/>
    <col min="21" max="21" style="50801" width="0.140625" customWidth="1"/>
    <col min="22" max="23" style="50801" width="21.7109375" hidden="1" customWidth="1"/>
    <col min="24" max="24" style="50801" width="11.7109375" hidden="1" customWidth="1"/>
    <col min="25" max="25" style="50801" width="3.7109375" hidden="1" customWidth="1"/>
    <col min="26" max="26" style="50801" width="11.7109375" hidden="1" customWidth="1"/>
    <col min="27" max="27" style="50801" width="8.57421875" hidden="1" customWidth="1"/>
    <col min="28" max="28" style="50801" width="5.421875" customWidth="1"/>
    <col min="29" max="30" style="50801" width="3.00390625" customWidth="1"/>
    <col min="31" max="31" style="50801" width="24.00390625" customWidth="1"/>
    <col min="32" max="32" style="50801" width="3.7109375" customWidth="1"/>
    <col min="33" max="34" style="50801" width="3.00390625" customWidth="1"/>
    <col min="35" max="35" style="50801" width="24.00390625" customWidth="1"/>
    <col min="36" max="36" style="50801" width="3.7109375" customWidth="1"/>
    <col min="37" max="38" style="50801" width="3.00390625" customWidth="1"/>
    <col min="39" max="39" style="50801" width="18.00390625" customWidth="1"/>
    <col min="40" max="41" style="50801" width="21.00390625" customWidth="1"/>
    <col min="42" max="42" style="50801" width="11.00390625" customWidth="1"/>
    <col min="43" max="43" style="50801" width="3.7109375" customWidth="1"/>
    <col min="44" max="44" style="50801" width="11.00390625" customWidth="1"/>
    <col min="45" max="45" style="50801" width="8.57421875" hidden="1" customWidth="1"/>
    <col min="46" max="46" style="50801" width="4.00390625" customWidth="1"/>
    <col min="47" max="47" style="50801" width="115.00390625" customWidth="1"/>
    <col min="48" max="52" style="50882" width="10.00390625" customWidth="1"/>
    <col min="53" max="53" style="50801" width="10.57421875" hidden="1"/>
  </cols>
  <sheetData>
    <row customHeight="1" ht="22.5" hidden="1">
      <c r="W1" s="839"/>
      <c r="X1" s="839"/>
      <c r="AO1" s="839"/>
      <c r="AP1" s="839"/>
      <c r="BA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848">
        <f>INDEX(PT_DIFFERENTIATION_NUM_NTAR,MATCH(A2,PT_DIFFERENTIATION_NTAR_ID,0))</f>
      </c>
      <c r="T2" s="810" t="s">
        <v>189</v>
      </c>
      <c r="U2" s="812"/>
      <c r="V2" s="2755"/>
      <c r="W2" s="2755"/>
      <c r="X2" s="2755"/>
      <c r="Y2" s="2755"/>
      <c r="Z2" s="2755"/>
      <c r="AA2" s="2756"/>
      <c r="AB2" s="2754">
        <f>INDEX(PT_DIFFERENTIATION_NTAR,MATCH(A2,PT_DIFFERENTIATION_NTAR_ID,0))</f>
      </c>
      <c r="AC2" s="2755"/>
      <c r="AD2" s="2755"/>
      <c r="AE2" s="2755"/>
      <c r="AF2" s="2755"/>
      <c r="AG2" s="2755"/>
      <c r="AH2" s="2755"/>
      <c r="AI2" s="2755"/>
      <c r="AJ2" s="2755"/>
      <c r="AK2" s="2755"/>
      <c r="AL2" s="2755"/>
      <c r="AM2" s="2755"/>
      <c r="AN2" s="2755"/>
      <c r="AO2" s="2755"/>
      <c r="AP2" s="2755"/>
      <c r="AQ2" s="2755"/>
      <c r="AR2" s="2755"/>
      <c r="AS2" s="2755"/>
      <c r="AT2" s="2756"/>
      <c r="AU2" s="1770" t="s">
        <v>535</v>
      </c>
      <c r="AW2" s="1012"/>
      <c r="AX2" s="1012" t="str">
        <f>IF(T2="","",T2)</f>
        <v>Наименование тарифа</v>
      </c>
      <c r="AY2" s="1012"/>
      <c r="AZ2" s="1012"/>
      <c r="BA2" s="1667">
        <v>0</v>
      </c>
    </row>
    <row customHeight="1" ht="21" hidden="1">
      <c r="A3" s="1875"/>
      <c r="B3" s="1875"/>
      <c r="C3" s="1875"/>
      <c r="D3" s="1875"/>
      <c r="E3" s="2771"/>
      <c r="F3" s="2770">
        <v>1</v>
      </c>
      <c r="G3" s="1875"/>
      <c r="H3" s="1875"/>
      <c r="I3" s="1875"/>
      <c r="J3" s="1875"/>
      <c r="K3" s="1875"/>
      <c r="L3" s="1876"/>
      <c r="M3" s="1877"/>
      <c r="N3" s="1877"/>
      <c r="O3" s="1877"/>
      <c r="P3" s="1922"/>
      <c r="Q3" s="1923"/>
      <c r="R3" s="865"/>
      <c r="S3" s="1848">
        <f>INDEX(PT_DIFFERENTIATION_NUM_TER,MATCH(B3,PT_DIFFERENTIATION_TER_ID,0))</f>
      </c>
      <c r="T3" s="820" t="s">
        <v>536</v>
      </c>
      <c r="U3" s="812"/>
      <c r="V3" s="2755"/>
      <c r="W3" s="2755"/>
      <c r="X3" s="2755"/>
      <c r="Y3" s="2755"/>
      <c r="Z3" s="2755"/>
      <c r="AA3" s="2756"/>
      <c r="AB3" s="2754">
        <f>INDEX(PT_DIFFERENTIATION_TER,MATCH(B3,PT_DIFFERENTIATION_TER_ID,0))</f>
      </c>
      <c r="AC3" s="2755"/>
      <c r="AD3" s="2755"/>
      <c r="AE3" s="2755"/>
      <c r="AF3" s="2755"/>
      <c r="AG3" s="2755"/>
      <c r="AH3" s="2755"/>
      <c r="AI3" s="2755"/>
      <c r="AJ3" s="2755"/>
      <c r="AK3" s="2755"/>
      <c r="AL3" s="2755"/>
      <c r="AM3" s="2755"/>
      <c r="AN3" s="2755"/>
      <c r="AO3" s="2755"/>
      <c r="AP3" s="2755"/>
      <c r="AQ3" s="2755"/>
      <c r="AR3" s="2755"/>
      <c r="AS3" s="2755"/>
      <c r="AT3" s="2756"/>
      <c r="AU3" s="1770" t="s">
        <v>537</v>
      </c>
      <c r="AW3" s="1012"/>
      <c r="AX3" s="1012" t="str">
        <f>IF(T3="","",T3)</f>
        <v>Территория действия тарифа</v>
      </c>
      <c r="AY3" s="1012"/>
      <c r="AZ3" s="1012"/>
      <c r="BA3" s="1667">
        <v>0</v>
      </c>
    </row>
    <row customHeight="1" ht="22.5" hidden="1">
      <c r="A4" s="1875"/>
      <c r="B4" s="1875"/>
      <c r="C4" s="1875"/>
      <c r="D4" s="1875"/>
      <c r="E4" s="2771"/>
      <c r="F4" s="2771"/>
      <c r="G4" s="2770">
        <v>1</v>
      </c>
      <c r="H4" s="1875"/>
      <c r="I4" s="1875"/>
      <c r="J4" s="1875"/>
      <c r="K4" s="1875"/>
      <c r="L4" s="1876"/>
      <c r="M4" s="1877"/>
      <c r="N4" s="1877"/>
      <c r="O4" s="1877"/>
      <c r="P4" s="1924"/>
      <c r="Q4" s="1923"/>
      <c r="R4" s="865"/>
      <c r="S4" s="1848">
        <f>INDEX(PT_DIFFERENTIATION_NUM_CS,MATCH(C4,PT_DIFFERENTIATION_CS_ID,0))</f>
      </c>
      <c r="T4" s="821" t="s">
        <v>538</v>
      </c>
      <c r="U4" s="812"/>
      <c r="V4" s="2755"/>
      <c r="W4" s="2755"/>
      <c r="X4" s="2755"/>
      <c r="Y4" s="2755"/>
      <c r="Z4" s="2755"/>
      <c r="AA4" s="2756"/>
      <c r="AB4" s="2754">
        <f>INDEX(PT_DIFFERENTIATION_CS,MATCH(C4,PT_DIFFERENTIATION_CS_ID,0))</f>
      </c>
      <c r="AC4" s="2755"/>
      <c r="AD4" s="2755"/>
      <c r="AE4" s="2755"/>
      <c r="AF4" s="2755"/>
      <c r="AG4" s="2755"/>
      <c r="AH4" s="2755"/>
      <c r="AI4" s="2755"/>
      <c r="AJ4" s="2755"/>
      <c r="AK4" s="2755"/>
      <c r="AL4" s="2755"/>
      <c r="AM4" s="2755"/>
      <c r="AN4" s="2755"/>
      <c r="AO4" s="2755"/>
      <c r="AP4" s="2755"/>
      <c r="AQ4" s="2755"/>
      <c r="AR4" s="2755"/>
      <c r="AS4" s="2755"/>
      <c r="AT4" s="2756"/>
      <c r="AU4" s="1770" t="s">
        <v>539</v>
      </c>
      <c r="AW4" s="1012"/>
      <c r="AX4" s="1012" t="str">
        <f>IF(T4="","",T4)</f>
        <v>Наименование системы теплоснабжения </v>
      </c>
      <c r="AY4" s="1012"/>
      <c r="AZ4" s="1012"/>
      <c r="BA4" s="1667">
        <v>0</v>
      </c>
    </row>
    <row customHeight="1" ht="21" hidden="1">
      <c r="A5" s="1875"/>
      <c r="B5" s="1875"/>
      <c r="C5" s="1875"/>
      <c r="D5" s="1875"/>
      <c r="E5" s="2771"/>
      <c r="F5" s="2771"/>
      <c r="G5" s="2771"/>
      <c r="H5" s="2770">
        <v>1</v>
      </c>
      <c r="I5" s="1875"/>
      <c r="J5" s="1875"/>
      <c r="K5" s="1875"/>
      <c r="L5" s="1876"/>
      <c r="M5" s="1877"/>
      <c r="N5" s="1877"/>
      <c r="O5" s="1877"/>
      <c r="P5" s="1924"/>
      <c r="Q5" s="1923"/>
      <c r="R5" s="865"/>
      <c r="S5" s="1848">
        <f>INDEX(PT_DIFFERENTIATION_NUM_IST_TE,MATCH(D5,PT_DIFFERENTIATION_IST_TE_ID,0))</f>
      </c>
      <c r="T5" s="822" t="s">
        <v>540</v>
      </c>
      <c r="U5" s="812"/>
      <c r="V5" s="2755"/>
      <c r="W5" s="2755"/>
      <c r="X5" s="2755"/>
      <c r="Y5" s="2755"/>
      <c r="Z5" s="2755"/>
      <c r="AA5" s="2756"/>
      <c r="AB5" s="2754">
        <f>INDEX(PT_DIFFERENTIATION_IST_TE,MATCH(D5,PT_DIFFERENTIATION_IST_TE_ID,0))</f>
      </c>
      <c r="AC5" s="2755"/>
      <c r="AD5" s="2755"/>
      <c r="AE5" s="2755"/>
      <c r="AF5" s="2755"/>
      <c r="AG5" s="2755"/>
      <c r="AH5" s="2755"/>
      <c r="AI5" s="2755"/>
      <c r="AJ5" s="2755"/>
      <c r="AK5" s="2755"/>
      <c r="AL5" s="2755"/>
      <c r="AM5" s="2755"/>
      <c r="AN5" s="2755"/>
      <c r="AO5" s="2755"/>
      <c r="AP5" s="2755"/>
      <c r="AQ5" s="2755"/>
      <c r="AR5" s="2755"/>
      <c r="AS5" s="2755"/>
      <c r="AT5" s="2756"/>
      <c r="AU5" s="1770" t="s">
        <v>541</v>
      </c>
      <c r="AW5" s="1012"/>
      <c r="AX5" s="1012" t="str">
        <f>IF(T5="","",T5)</f>
        <v>Источник тепловой энергии  </v>
      </c>
      <c r="AY5" s="1012"/>
      <c r="AZ5" s="1012"/>
      <c r="BA5" s="1667">
        <v>0</v>
      </c>
    </row>
    <row s="50882" customFormat="1" customHeight="1" ht="0.75" hidden="1">
      <c r="A6" s="1855"/>
      <c r="B6" s="1855"/>
      <c r="C6" s="1855"/>
      <c r="D6" s="1855"/>
      <c r="E6" s="2771"/>
      <c r="F6" s="2771"/>
      <c r="G6" s="2771"/>
      <c r="H6" s="2771"/>
      <c r="I6" s="2768">
        <f>S5&amp;".1"</f>
      </c>
      <c r="J6" s="1855"/>
      <c r="K6" s="1855"/>
      <c r="L6" s="1858" t="s">
        <v>542</v>
      </c>
      <c r="M6" s="1022"/>
      <c r="N6" s="1022"/>
      <c r="O6" s="1022"/>
      <c r="P6" s="2769">
        <v>1</v>
      </c>
      <c r="Q6" s="1843"/>
      <c r="R6" s="868"/>
      <c r="S6" s="1554"/>
      <c r="T6" s="1895"/>
      <c r="U6" s="1896"/>
      <c r="V6" s="2809"/>
      <c r="W6" s="2809"/>
      <c r="X6" s="2809"/>
      <c r="Y6" s="2809"/>
      <c r="Z6" s="2809"/>
      <c r="AA6" s="2810"/>
      <c r="AB6" s="2808"/>
      <c r="AC6" s="2809"/>
      <c r="AD6" s="2809"/>
      <c r="AE6" s="2809"/>
      <c r="AF6" s="2809"/>
      <c r="AG6" s="2809"/>
      <c r="AH6" s="2809"/>
      <c r="AI6" s="2809"/>
      <c r="AJ6" s="2809"/>
      <c r="AK6" s="2809"/>
      <c r="AL6" s="2809"/>
      <c r="AM6" s="2809"/>
      <c r="AN6" s="2809"/>
      <c r="AO6" s="2809"/>
      <c r="AP6" s="2809"/>
      <c r="AQ6" s="2809"/>
      <c r="AR6" s="2809"/>
      <c r="AS6" s="2809"/>
      <c r="AT6" s="2810"/>
      <c r="AU6" s="1897"/>
      <c r="AW6" s="1012"/>
      <c r="AX6" s="1012" t="str">
        <f>IF(T6="","",T6)</f>
        <v/>
      </c>
      <c r="AY6" s="1012"/>
      <c r="AZ6" s="1012"/>
      <c r="BA6" s="1023">
        <v>0</v>
      </c>
    </row>
    <row s="50882" customFormat="1" customHeight="1" ht="0.75" hidden="1">
      <c r="A7" s="1855"/>
      <c r="B7" s="1855"/>
      <c r="C7" s="1855"/>
      <c r="D7" s="1855"/>
      <c r="E7" s="2771"/>
      <c r="F7" s="2771"/>
      <c r="G7" s="2771"/>
      <c r="H7" s="2771"/>
      <c r="I7" s="2798"/>
      <c r="J7" s="2768">
        <f>S5&amp;".1"</f>
      </c>
      <c r="K7" s="1855"/>
      <c r="L7" s="1858"/>
      <c r="M7" s="1022"/>
      <c r="N7" s="1022"/>
      <c r="O7" s="1022"/>
      <c r="P7" s="2769"/>
      <c r="Q7" s="2769">
        <v>1</v>
      </c>
      <c r="R7" s="869"/>
      <c r="S7" s="1554"/>
      <c r="T7" s="1911"/>
      <c r="U7" s="1896"/>
      <c r="V7" s="2809"/>
      <c r="W7" s="2809"/>
      <c r="X7" s="2809"/>
      <c r="Y7" s="2809"/>
      <c r="Z7" s="2809"/>
      <c r="AA7" s="2810"/>
      <c r="AB7" s="2808"/>
      <c r="AC7" s="2809"/>
      <c r="AD7" s="2809"/>
      <c r="AE7" s="2809"/>
      <c r="AF7" s="2809"/>
      <c r="AG7" s="2809"/>
      <c r="AH7" s="2809"/>
      <c r="AI7" s="2809"/>
      <c r="AJ7" s="2809"/>
      <c r="AK7" s="2809"/>
      <c r="AL7" s="2809"/>
      <c r="AM7" s="2809"/>
      <c r="AN7" s="2809"/>
      <c r="AO7" s="2809"/>
      <c r="AP7" s="2809"/>
      <c r="AQ7" s="2809"/>
      <c r="AR7" s="2809"/>
      <c r="AS7" s="2809"/>
      <c r="AT7" s="2810"/>
      <c r="AU7" s="1897"/>
      <c r="AW7" s="1012"/>
      <c r="AX7" s="1012" t="str">
        <f>IF(T7="","",T7)</f>
        <v/>
      </c>
      <c r="AY7" s="1012"/>
      <c r="AZ7" s="1012"/>
      <c r="BA7" s="1023">
        <v>0</v>
      </c>
    </row>
    <row customHeight="1" ht="21" hidden="1">
      <c r="A8" s="1875"/>
      <c r="B8" s="1875"/>
      <c r="C8" s="1875"/>
      <c r="D8" s="1875"/>
      <c r="E8" s="2771"/>
      <c r="F8" s="2771"/>
      <c r="G8" s="2771"/>
      <c r="H8" s="2771"/>
      <c r="I8" s="2798"/>
      <c r="J8" s="2798"/>
      <c r="K8" s="2768">
        <f>S5&amp;".1"</f>
      </c>
      <c r="L8" s="1876"/>
      <c r="P8" s="2769"/>
      <c r="Q8" s="2769"/>
      <c r="R8" s="2859">
        <v>1</v>
      </c>
      <c r="S8" s="2853">
        <f>$K8</f>
      </c>
      <c r="T8" s="2856"/>
      <c r="U8" s="812"/>
      <c r="V8" s="1263"/>
      <c r="W8" s="1769"/>
      <c r="X8" s="2777"/>
      <c r="Y8" s="2619" t="s">
        <v>63</v>
      </c>
      <c r="Z8" s="2777"/>
      <c r="AA8" s="2619" t="s">
        <v>63</v>
      </c>
      <c r="AB8" s="2619" t="s">
        <v>19</v>
      </c>
      <c r="AC8" s="2838"/>
      <c r="AD8" s="2717">
        <v>1</v>
      </c>
      <c r="AE8" s="2839"/>
      <c r="AF8" s="2619" t="s">
        <v>19</v>
      </c>
      <c r="AG8" s="2838"/>
      <c r="AH8" s="2717">
        <v>1</v>
      </c>
      <c r="AI8" s="2839"/>
      <c r="AJ8" s="2619" t="s">
        <v>19</v>
      </c>
      <c r="AK8" s="823"/>
      <c r="AL8" s="1849">
        <v>1</v>
      </c>
      <c r="AM8" s="1910"/>
      <c r="AN8" s="1263"/>
      <c r="AO8" s="1769"/>
      <c r="AP8" s="2246"/>
      <c r="AQ8" s="1971" t="s">
        <v>63</v>
      </c>
      <c r="AR8" s="2246"/>
      <c r="AS8" s="1971" t="s">
        <v>63</v>
      </c>
      <c r="AT8" s="1860"/>
      <c r="AU8" s="2765" t="s">
        <v>600</v>
      </c>
      <c r="AV8" s="1023">
        <f>STRCHECKDATE(V11:AT11)</f>
      </c>
      <c r="AW8" s="1012"/>
      <c r="AX8" s="1012" t="str">
        <f>IF(T8="","",T8)</f>
        <v/>
      </c>
      <c r="AY8" s="1012"/>
      <c r="AZ8" s="1012"/>
      <c r="BA8" s="1667">
        <v>0</v>
      </c>
    </row>
    <row customHeight="1" ht="11.25" hidden="1">
      <c r="A9" s="1875"/>
      <c r="B9" s="1875"/>
      <c r="C9" s="1875"/>
      <c r="D9" s="1875"/>
      <c r="E9" s="2771"/>
      <c r="F9" s="2771"/>
      <c r="G9" s="2771"/>
      <c r="H9" s="2771"/>
      <c r="I9" s="2798"/>
      <c r="J9" s="2798"/>
      <c r="K9" s="2768"/>
      <c r="L9" s="1876"/>
      <c r="P9" s="2769"/>
      <c r="Q9" s="2769"/>
      <c r="R9" s="2859"/>
      <c r="S9" s="2854"/>
      <c r="T9" s="2857"/>
      <c r="U9" s="812"/>
      <c r="V9" s="1905"/>
      <c r="W9" s="1909"/>
      <c r="X9" s="2777"/>
      <c r="Y9" s="2619"/>
      <c r="Z9" s="2777"/>
      <c r="AA9" s="2619"/>
      <c r="AB9" s="2619"/>
      <c r="AC9" s="2838"/>
      <c r="AD9" s="2717"/>
      <c r="AE9" s="2839"/>
      <c r="AF9" s="2619"/>
      <c r="AG9" s="2838"/>
      <c r="AH9" s="2717"/>
      <c r="AI9" s="2839"/>
      <c r="AJ9" s="2619"/>
      <c r="AK9" s="828"/>
      <c r="AL9" s="928"/>
      <c r="AM9" s="927" t="s">
        <v>601</v>
      </c>
      <c r="AN9" s="1905"/>
      <c r="AO9" s="2008"/>
      <c r="AP9" s="1905"/>
      <c r="AQ9" s="1905"/>
      <c r="AR9" s="1905"/>
      <c r="AS9" s="1905"/>
      <c r="AT9" s="1902"/>
      <c r="AU9" s="2766"/>
      <c r="AW9" s="1012"/>
      <c r="AX9" s="1012"/>
      <c r="AY9" s="1012"/>
      <c r="AZ9" s="1012"/>
      <c r="BA9" s="1667">
        <v>0</v>
      </c>
    </row>
    <row customHeight="1" ht="11.25" hidden="1">
      <c r="A10" s="1875"/>
      <c r="B10" s="1875"/>
      <c r="C10" s="1875"/>
      <c r="D10" s="1875"/>
      <c r="E10" s="2771"/>
      <c r="F10" s="2771"/>
      <c r="G10" s="2771"/>
      <c r="H10" s="2771"/>
      <c r="I10" s="2798"/>
      <c r="J10" s="2798"/>
      <c r="K10" s="2768"/>
      <c r="L10" s="1876"/>
      <c r="P10" s="2769"/>
      <c r="Q10" s="2769"/>
      <c r="R10" s="2859"/>
      <c r="S10" s="2854"/>
      <c r="T10" s="2857"/>
      <c r="U10" s="812"/>
      <c r="V10" s="1905"/>
      <c r="W10" s="1909"/>
      <c r="X10" s="2777"/>
      <c r="Y10" s="2619"/>
      <c r="Z10" s="2777"/>
      <c r="AA10" s="2619"/>
      <c r="AB10" s="2619"/>
      <c r="AC10" s="2838"/>
      <c r="AD10" s="2717"/>
      <c r="AE10" s="2839"/>
      <c r="AF10" s="2619"/>
      <c r="AG10" s="806"/>
      <c r="AH10" s="927"/>
      <c r="AI10" s="927" t="s">
        <v>602</v>
      </c>
      <c r="AJ10" s="1905"/>
      <c r="AK10" s="1905"/>
      <c r="AL10" s="1905"/>
      <c r="AM10" s="1905"/>
      <c r="AN10" s="1905"/>
      <c r="AO10" s="2008"/>
      <c r="AP10" s="1905"/>
      <c r="AQ10" s="1905"/>
      <c r="AR10" s="1905"/>
      <c r="AS10" s="1905"/>
      <c r="AT10" s="1902"/>
      <c r="AU10" s="2766"/>
      <c r="AW10" s="1012"/>
      <c r="AX10" s="1012"/>
      <c r="AY10" s="1012"/>
      <c r="AZ10" s="1012"/>
      <c r="BA10" s="1667">
        <v>0</v>
      </c>
    </row>
    <row customHeight="1" ht="11.25" hidden="1">
      <c r="A11" s="1875"/>
      <c r="B11" s="1875"/>
      <c r="C11" s="1875"/>
      <c r="D11" s="1875"/>
      <c r="E11" s="2771"/>
      <c r="F11" s="2771"/>
      <c r="G11" s="2771"/>
      <c r="H11" s="2771"/>
      <c r="I11" s="2798"/>
      <c r="J11" s="2798"/>
      <c r="K11" s="2768"/>
      <c r="L11" s="1876"/>
      <c r="P11" s="2769"/>
      <c r="Q11" s="2769"/>
      <c r="R11" s="2859"/>
      <c r="S11" s="2855"/>
      <c r="T11" s="2858"/>
      <c r="U11" s="812"/>
      <c r="V11" s="1905"/>
      <c r="W11" s="1908" t="str">
        <f>X8&amp;"-"&amp;Z8</f>
        <v>-</v>
      </c>
      <c r="X11" s="2778"/>
      <c r="Y11" s="2619"/>
      <c r="Z11" s="2778"/>
      <c r="AA11" s="2619"/>
      <c r="AB11" s="2619"/>
      <c r="AC11" s="824"/>
      <c r="AD11" s="826"/>
      <c r="AE11" s="927" t="s">
        <v>603</v>
      </c>
      <c r="AF11" s="1905"/>
      <c r="AG11" s="1905"/>
      <c r="AH11" s="1905"/>
      <c r="AI11" s="1905"/>
      <c r="AJ11" s="1905"/>
      <c r="AK11" s="1905"/>
      <c r="AL11" s="1905"/>
      <c r="AM11" s="1905"/>
      <c r="AN11" s="1905"/>
      <c r="AO11" s="1906" t="str">
        <f>AP8&amp;"-"&amp;AR8</f>
        <v>-</v>
      </c>
      <c r="AP11" s="1905"/>
      <c r="AQ11" s="1905"/>
      <c r="AR11" s="1905"/>
      <c r="AS11" s="1905"/>
      <c r="AT11" s="1861"/>
      <c r="AU11" s="2766"/>
      <c r="AW11" s="1012"/>
      <c r="AX11" s="1012" t="str">
        <f>IF(T11="","",T11)</f>
        <v/>
      </c>
      <c r="AY11" s="1012"/>
      <c r="AZ11" s="1012"/>
      <c r="BA11" s="1667">
        <v>0</v>
      </c>
    </row>
    <row customHeight="1" ht="11.25" hidden="1">
      <c r="A12" s="1875"/>
      <c r="B12" s="1875"/>
      <c r="C12" s="1875"/>
      <c r="D12" s="1875"/>
      <c r="E12" s="2771"/>
      <c r="F12" s="2771"/>
      <c r="G12" s="2771"/>
      <c r="H12" s="2771"/>
      <c r="I12" s="2798"/>
      <c r="J12" s="2768"/>
      <c r="K12" s="1875"/>
      <c r="L12" s="1876"/>
      <c r="P12" s="2769"/>
      <c r="Q12" s="2769"/>
      <c r="R12" s="868"/>
      <c r="S12" s="1790"/>
      <c r="T12" s="799" t="s">
        <v>604</v>
      </c>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36"/>
      <c r="AU12" s="2767"/>
      <c r="AW12" s="1012"/>
      <c r="AX12" s="1012" t="str">
        <f>IF(T12="","",T12)</f>
        <v>Добавить строку</v>
      </c>
      <c r="AY12" s="1012"/>
      <c r="AZ12" s="1012"/>
      <c r="BA12" s="1667">
        <v>0</v>
      </c>
    </row>
    <row s="50882" customFormat="1" customHeight="1" ht="0.75" hidden="1">
      <c r="A13" s="1855"/>
      <c r="B13" s="1855"/>
      <c r="C13" s="1855"/>
      <c r="D13" s="1855"/>
      <c r="E13" s="2771"/>
      <c r="F13" s="2771"/>
      <c r="G13" s="2771"/>
      <c r="H13" s="2771"/>
      <c r="I13" s="2768"/>
      <c r="J13" s="1855"/>
      <c r="K13" s="1855"/>
      <c r="L13" s="1858"/>
      <c r="M13" s="1022"/>
      <c r="N13" s="1022"/>
      <c r="O13" s="1022"/>
      <c r="P13" s="2769"/>
      <c r="Q13" s="1843"/>
      <c r="R13" s="868"/>
      <c r="S13" s="1898"/>
      <c r="T13" s="1899"/>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1"/>
      <c r="AW13" s="1012"/>
      <c r="AX13" s="1012" t="str">
        <f>IF(T13="","",T13)</f>
        <v/>
      </c>
      <c r="AY13" s="1012"/>
      <c r="AZ13" s="1012"/>
      <c r="BA13" s="1023">
        <v>0</v>
      </c>
    </row>
    <row s="50882" customFormat="1" customHeight="1" ht="0.75" hidden="1">
      <c r="A14" s="1855"/>
      <c r="B14" s="1855"/>
      <c r="C14" s="1855"/>
      <c r="D14" s="1855"/>
      <c r="E14" s="2771"/>
      <c r="F14" s="2771"/>
      <c r="G14" s="2771"/>
      <c r="H14" s="2770"/>
      <c r="I14" s="1855"/>
      <c r="J14" s="1855"/>
      <c r="K14" s="1855"/>
      <c r="L14" s="1858"/>
      <c r="M14" s="1827"/>
      <c r="N14" s="1827"/>
      <c r="O14" s="1030"/>
      <c r="P14" s="892"/>
      <c r="Q14" s="1856"/>
      <c r="R14" s="1913"/>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1"/>
      <c r="AW14" s="1012"/>
      <c r="AX14" s="1012" t="str">
        <f>IF(T14="","",T14)</f>
        <v/>
      </c>
      <c r="AY14" s="1012"/>
      <c r="AZ14" s="1012"/>
      <c r="BA14" s="1023">
        <v>0</v>
      </c>
    </row>
    <row s="50882" customFormat="1" customHeight="1" ht="0.75" hidden="1">
      <c r="A15" s="1855"/>
      <c r="B15" s="1855"/>
      <c r="C15" s="1855"/>
      <c r="D15" s="1826"/>
      <c r="E15" s="2771"/>
      <c r="F15" s="2771"/>
      <c r="G15" s="2770"/>
      <c r="H15" s="1826"/>
      <c r="I15" s="1826"/>
      <c r="J15" s="1826"/>
      <c r="K15" s="1826"/>
      <c r="L15" s="1851"/>
      <c r="M15" s="1827"/>
      <c r="N15" s="1827"/>
      <c r="P15" s="1828"/>
      <c r="Q15" s="1829"/>
      <c r="R15" s="1828"/>
      <c r="S15" s="1834"/>
      <c r="T15" s="1837" t="s">
        <v>553</v>
      </c>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W15" s="1301"/>
      <c r="AX15" s="1301" t="str">
        <f>IF(T15="","",T15)</f>
        <v>Добавить источник для дифференциации</v>
      </c>
      <c r="AY15" s="1301"/>
      <c r="AZ15" s="1301"/>
      <c r="BA15" s="1030">
        <v>0</v>
      </c>
    </row>
    <row s="50882" customFormat="1" customHeight="1" ht="0.75" hidden="1">
      <c r="A16" s="1855"/>
      <c r="B16" s="1855"/>
      <c r="C16" s="1826"/>
      <c r="D16" s="1826"/>
      <c r="E16" s="2771"/>
      <c r="F16" s="2770"/>
      <c r="G16" s="1826"/>
      <c r="H16" s="1826"/>
      <c r="I16" s="1826"/>
      <c r="J16" s="1826"/>
      <c r="K16" s="1826"/>
      <c r="L16" s="1851"/>
      <c r="M16" s="1833"/>
      <c r="N16" s="1833"/>
      <c r="P16" s="1828"/>
      <c r="Q16" s="1829"/>
      <c r="R16" s="1828"/>
      <c r="S16" s="1834"/>
      <c r="T16" s="1837" t="s">
        <v>290</v>
      </c>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W16" s="1301"/>
      <c r="AX16" s="1301" t="str">
        <f>IF(T16="","",T16)</f>
        <v>Добавить централизованную систему для дифференциации</v>
      </c>
      <c r="AY16" s="1301"/>
      <c r="AZ16" s="1301"/>
      <c r="BA16" s="1030">
        <v>0</v>
      </c>
    </row>
    <row s="50882" customFormat="1" customHeight="1" ht="0.75" hidden="1">
      <c r="A17" s="1855"/>
      <c r="B17" s="1855"/>
      <c r="C17" s="1855"/>
      <c r="D17" s="1855"/>
      <c r="E17" s="2770"/>
      <c r="F17" s="1855"/>
      <c r="G17" s="1855"/>
      <c r="H17" s="1855"/>
      <c r="I17" s="1855"/>
      <c r="J17" s="1855"/>
      <c r="K17" s="1855"/>
      <c r="L17" s="1858"/>
      <c r="M17" s="1833"/>
      <c r="N17" s="1833"/>
      <c r="O17" s="1030"/>
      <c r="P17" s="892"/>
      <c r="Q17" s="1856"/>
      <c r="R17" s="892"/>
      <c r="S17" s="1834"/>
      <c r="T17" s="1837" t="s">
        <v>365</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W17" s="1012"/>
      <c r="AX17" s="1012" t="str">
        <f>IF(T17="","",T17)</f>
        <v>Добавить территорию для дифференциации</v>
      </c>
      <c r="AY17" s="1012"/>
      <c r="AZ17" s="1012"/>
      <c r="BA17" s="1023">
        <v>0</v>
      </c>
    </row>
    <row customHeight="1" ht="14.25" hidden="1">
      <c r="AA18" s="839"/>
      <c r="AS18" s="839"/>
      <c r="BA18" s="1667">
        <v>0</v>
      </c>
    </row>
    <row customHeight="1" ht="14.25" hidden="1">
      <c r="AB19" s="1836" t="s">
        <v>19</v>
      </c>
      <c r="AC19" s="2013"/>
      <c r="AD19" s="1060">
        <v>1</v>
      </c>
      <c r="AE19" s="2014"/>
      <c r="AF19" s="1836" t="s">
        <v>19</v>
      </c>
      <c r="AG19" s="2013"/>
      <c r="AH19" s="1060">
        <v>1</v>
      </c>
      <c r="AI19" s="2014"/>
      <c r="AJ19" s="1836" t="s">
        <v>19</v>
      </c>
      <c r="AK19" s="2015"/>
      <c r="AL19" s="1060">
        <v>1</v>
      </c>
      <c r="AM19" s="2018"/>
      <c r="AN19" s="1915"/>
      <c r="AO19" s="1916"/>
      <c r="AP19" s="2248"/>
      <c r="AQ19" s="1972" t="s">
        <v>63</v>
      </c>
      <c r="AR19" s="2248"/>
      <c r="AS19" s="1972" t="s">
        <v>63</v>
      </c>
      <c r="BA19" s="1667">
        <v>0</v>
      </c>
    </row>
    <row customHeight="1" ht="14.25" hidden="1">
      <c r="AV20" s="1008"/>
      <c r="AW20" s="1008"/>
      <c r="AX20" s="1008"/>
      <c r="AY20" s="1008"/>
      <c r="AZ20" s="1008"/>
      <c r="BA20" s="1667">
        <v>0</v>
      </c>
    </row>
    <row customHeight="1" ht="14.25" hidden="1">
      <c r="O21" s="1879" t="s">
        <v>554</v>
      </c>
      <c r="X21" s="1857"/>
      <c r="Z21" s="1857"/>
      <c r="AA21" s="839"/>
      <c r="AP21" s="1857"/>
      <c r="AR21" s="1857"/>
      <c r="AS21" s="839"/>
      <c r="AV21" s="1008"/>
      <c r="AW21" s="1008"/>
      <c r="AX21" s="1008"/>
      <c r="AY21" s="1008"/>
      <c r="AZ21" s="1008"/>
      <c r="BA21" s="1667">
        <v>0</v>
      </c>
    </row>
    <row customHeight="1" ht="14.25" hidden="1">
      <c r="AA22" s="839"/>
      <c r="AS22" s="839"/>
      <c r="AV22" s="1008"/>
      <c r="AW22" s="1008"/>
      <c r="AX22" s="1008"/>
      <c r="AY22" s="1008"/>
      <c r="AZ22" s="1008"/>
      <c r="BA22" s="1667">
        <v>0</v>
      </c>
    </row>
    <row s="51963" customFormat="1" customHeight="1" ht="14.25" hidden="1">
      <c r="M23" s="2020"/>
      <c r="N23" s="2020"/>
      <c r="O23" s="2021" t="s">
        <v>555</v>
      </c>
      <c r="P23" s="2020"/>
      <c r="Q23" s="2022"/>
      <c r="R23" s="2022"/>
      <c r="Y23" s="2019" t="s">
        <v>557</v>
      </c>
      <c r="AA23" s="2019" t="s">
        <v>558</v>
      </c>
      <c r="AB23" s="2019" t="s">
        <v>605</v>
      </c>
      <c r="AE23" s="2019" t="s">
        <v>606</v>
      </c>
      <c r="AF23" s="2019" t="s">
        <v>605</v>
      </c>
      <c r="AI23" s="2019" t="s">
        <v>607</v>
      </c>
      <c r="AJ23" s="2019" t="s">
        <v>605</v>
      </c>
      <c r="AM23" s="2019" t="s">
        <v>608</v>
      </c>
      <c r="AQ23" s="2019" t="s">
        <v>557</v>
      </c>
      <c r="AS23" s="2019" t="s">
        <v>558</v>
      </c>
      <c r="AV23" s="2023"/>
      <c r="AW23" s="2023"/>
      <c r="AX23" s="2023"/>
      <c r="AY23" s="2023"/>
      <c r="AZ23" s="2023"/>
      <c r="BA23" s="2019">
        <v>0</v>
      </c>
    </row>
    <row customHeight="1" ht="14.25" hidden="1">
      <c r="O24" s="1876"/>
      <c r="AV24" s="1008"/>
      <c r="AW24" s="1008"/>
      <c r="AX24" s="1008"/>
      <c r="AY24" s="1008"/>
      <c r="AZ24" s="1008"/>
      <c r="BA24" s="1667">
        <v>0</v>
      </c>
    </row>
    <row customHeight="1" ht="14.25" hidden="1">
      <c r="O25" s="1876"/>
      <c r="AV25" s="1008"/>
      <c r="AW25" s="1008"/>
      <c r="AX25" s="1008"/>
      <c r="AY25" s="1008"/>
      <c r="AZ25" s="1008"/>
      <c r="BA25" s="1667">
        <v>0</v>
      </c>
    </row>
    <row customHeight="1" ht="14.699999999999998">
      <c r="Q26" s="803"/>
      <c r="R26" s="888"/>
      <c r="S26" s="1787"/>
      <c r="T26" s="875"/>
      <c r="U26" s="875"/>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BA26" s="1667">
        <v>14</v>
      </c>
    </row>
    <row customHeight="1" ht="27.299999999999997">
      <c r="Q27" s="803"/>
      <c r="R27" s="888"/>
      <c r="S27" s="27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1755"/>
      <c r="BA27" s="1667">
        <v>26</v>
      </c>
    </row>
    <row customHeight="1" ht="14.699999999999998">
      <c r="Q28" s="803"/>
      <c r="R28" s="888"/>
      <c r="S28" s="2761" t="str">
        <f>IF(org=0,"Не определено",org)</f>
        <v>КГУП "Примтеплоэнерго"</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755"/>
      <c r="BA28" s="1667">
        <v>14</v>
      </c>
    </row>
    <row customHeight="1" ht="14.25">
      <c r="Q29" s="803"/>
      <c r="R29" s="888"/>
      <c r="S29" s="1787"/>
      <c r="T29" s="875"/>
      <c r="U29" s="875"/>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1021"/>
      <c r="BA29" s="1667">
        <v>0</v>
      </c>
    </row>
    <row s="51018" customFormat="1" customHeight="1" ht="25.5">
      <c r="A30" s="1880"/>
      <c r="B30" s="1880"/>
      <c r="C30" s="1880"/>
      <c r="D30" s="1880"/>
      <c r="E30" s="1880"/>
      <c r="F30" s="1880"/>
      <c r="G30" s="1880"/>
      <c r="H30" s="1880"/>
      <c r="I30" s="1880"/>
      <c r="J30" s="1880"/>
      <c r="K30" s="1880"/>
      <c r="L30" s="1881"/>
      <c r="M30" s="1880"/>
      <c r="N30" s="1880"/>
      <c r="O30" s="1880"/>
      <c r="P30" s="1880"/>
      <c r="Q30" s="1880"/>
      <c r="S30" s="2762" t="s">
        <v>42</v>
      </c>
      <c r="T30" s="2762"/>
      <c r="U30" s="1884"/>
      <c r="V30" s="2763" t="str">
        <f>IF(TITLE_NAME_OR_PR_CHANGE="",IF(TITLE_NAME_OR_PR="","",TITLE_NAME_OR_PR),TITLE_NAME_OR_PR_CHANGE)</f>
        <v>Агентство по тарифам Приморского края</v>
      </c>
      <c r="W30" s="2763"/>
      <c r="X30" s="2763"/>
      <c r="Y30" s="2763"/>
      <c r="Z30" s="2763"/>
      <c r="AA30" s="838"/>
      <c r="AB30" s="2763" t="str">
        <f>IF(TITLE_NAME_OR_PR_CHANGE="",IF(TITLE_NAME_OR_PR="","",TITLE_NAME_OR_PR),TITLE_NAME_OR_PR_CHANGE)</f>
        <v>Агентство по тарифам Приморского края</v>
      </c>
      <c r="AC30" s="2763"/>
      <c r="AD30" s="2763"/>
      <c r="AE30" s="2763"/>
      <c r="AF30" s="2763"/>
      <c r="AG30" s="2763"/>
      <c r="AH30" s="2763"/>
      <c r="AI30" s="2763"/>
      <c r="AJ30" s="2763"/>
      <c r="AK30" s="2763"/>
      <c r="AL30" s="2763"/>
      <c r="AM30" s="2763"/>
      <c r="AN30" s="2763"/>
      <c r="AO30" s="2763"/>
      <c r="AP30" s="2763"/>
      <c r="AQ30" s="2763"/>
      <c r="AR30" s="2763"/>
      <c r="AS30" s="838"/>
      <c r="AT30" s="838"/>
      <c r="AU30" s="792"/>
      <c r="AV30" s="880"/>
      <c r="AW30" s="880"/>
      <c r="AX30" s="880"/>
      <c r="AY30" s="880"/>
      <c r="AZ30" s="880"/>
      <c r="BA30" s="930">
        <v>0</v>
      </c>
    </row>
    <row s="51018" customFormat="1" customHeight="1" ht="18.75">
      <c r="A31" s="1880"/>
      <c r="B31" s="1880"/>
      <c r="C31" s="1880"/>
      <c r="D31" s="1880"/>
      <c r="E31" s="1880"/>
      <c r="F31" s="1880"/>
      <c r="G31" s="1880"/>
      <c r="H31" s="1880"/>
      <c r="I31" s="1880"/>
      <c r="J31" s="1880"/>
      <c r="K31" s="1880"/>
      <c r="L31" s="1881"/>
      <c r="M31" s="1880"/>
      <c r="N31" s="1880"/>
      <c r="O31" s="1880"/>
      <c r="P31" s="1880"/>
      <c r="Q31" s="1880"/>
      <c r="S31" s="2762" t="s">
        <v>560</v>
      </c>
      <c r="T31" s="2762"/>
      <c r="U31" s="1884"/>
      <c r="V31" s="2776" t="str">
        <f>IF(TITLE_DATE_PR_CHANGE="",IF(TITLE_DATE_PR="","",TITLE_DATE_PR),TITLE_DATE_PR_CHANGE)</f>
        <v>45631.710694444446</v>
      </c>
      <c r="W31" s="2776"/>
      <c r="X31" s="2776"/>
      <c r="Y31" s="2776"/>
      <c r="Z31" s="2776"/>
      <c r="AA31" s="838"/>
      <c r="AB31" s="2776" t="str">
        <f>IF(TITLE_DATE_PR_CHANGE="",IF(TITLE_DATE_PR="","",TITLE_DATE_PR),TITLE_DATE_PR_CHANGE)</f>
        <v>45631.710694444446</v>
      </c>
      <c r="AC31" s="2776"/>
      <c r="AD31" s="2776"/>
      <c r="AE31" s="2776"/>
      <c r="AF31" s="2776"/>
      <c r="AG31" s="2776"/>
      <c r="AH31" s="2776"/>
      <c r="AI31" s="2776"/>
      <c r="AJ31" s="2776"/>
      <c r="AK31" s="2776"/>
      <c r="AL31" s="2776"/>
      <c r="AM31" s="2776"/>
      <c r="AN31" s="2776"/>
      <c r="AO31" s="2776"/>
      <c r="AP31" s="2776"/>
      <c r="AQ31" s="2776"/>
      <c r="AR31" s="2776"/>
      <c r="AS31" s="838"/>
      <c r="AT31" s="838"/>
      <c r="AU31" s="792"/>
      <c r="AV31" s="880"/>
      <c r="AW31" s="880"/>
      <c r="AX31" s="880"/>
      <c r="AY31" s="880"/>
      <c r="AZ31" s="880"/>
      <c r="BA31" s="930">
        <v>0</v>
      </c>
    </row>
    <row s="51018" customFormat="1" customHeight="1" ht="18.75">
      <c r="A32" s="1880"/>
      <c r="B32" s="1880"/>
      <c r="C32" s="1880"/>
      <c r="D32" s="1880"/>
      <c r="E32" s="1880"/>
      <c r="F32" s="1880"/>
      <c r="G32" s="1880"/>
      <c r="H32" s="1880"/>
      <c r="I32" s="1880"/>
      <c r="J32" s="1880"/>
      <c r="K32" s="1880"/>
      <c r="L32" s="1881"/>
      <c r="M32" s="1880"/>
      <c r="N32" s="1880"/>
      <c r="O32" s="1880"/>
      <c r="P32" s="1880"/>
      <c r="Q32" s="1880"/>
      <c r="S32" s="2762" t="s">
        <v>561</v>
      </c>
      <c r="T32" s="2762"/>
      <c r="U32" s="1884"/>
      <c r="V32" s="2763" t="str">
        <f>IF(TITLE_NUMBER_PR_CHANGE="",IF(TITLE_NUMBER_PR="","",TITLE_NUMBER_PR),TITLE_NUMBER_PR_CHANGE)</f>
        <v>53/9</v>
      </c>
      <c r="W32" s="2763"/>
      <c r="X32" s="2763"/>
      <c r="Y32" s="2763"/>
      <c r="Z32" s="2763"/>
      <c r="AA32" s="838"/>
      <c r="AB32" s="2763" t="str">
        <f>IF(TITLE_NUMBER_PR_CHANGE="",IF(TITLE_NUMBER_PR="","",TITLE_NUMBER_PR),TITLE_NUMBER_PR_CHANGE)</f>
        <v>53/9</v>
      </c>
      <c r="AC32" s="2763"/>
      <c r="AD32" s="2763"/>
      <c r="AE32" s="2763"/>
      <c r="AF32" s="2763"/>
      <c r="AG32" s="2763"/>
      <c r="AH32" s="2763"/>
      <c r="AI32" s="2763"/>
      <c r="AJ32" s="2763"/>
      <c r="AK32" s="2763"/>
      <c r="AL32" s="2763"/>
      <c r="AM32" s="2763"/>
      <c r="AN32" s="2763"/>
      <c r="AO32" s="2763"/>
      <c r="AP32" s="2763"/>
      <c r="AQ32" s="2763"/>
      <c r="AR32" s="2763"/>
      <c r="AS32" s="838"/>
      <c r="AT32" s="838"/>
      <c r="AU32" s="792"/>
      <c r="AV32" s="880"/>
      <c r="AW32" s="880"/>
      <c r="AX32" s="880"/>
      <c r="AY32" s="880"/>
      <c r="AZ32" s="880"/>
      <c r="BA32" s="930">
        <v>0</v>
      </c>
    </row>
    <row s="51018" customFormat="1" customHeight="1" ht="18.75">
      <c r="A33" s="1880"/>
      <c r="B33" s="1880"/>
      <c r="C33" s="1880"/>
      <c r="D33" s="1880"/>
      <c r="E33" s="1880"/>
      <c r="F33" s="1880"/>
      <c r="G33" s="1880"/>
      <c r="H33" s="1880"/>
      <c r="I33" s="1880"/>
      <c r="J33" s="1880"/>
      <c r="K33" s="1880"/>
      <c r="L33" s="1881"/>
      <c r="M33" s="1880"/>
      <c r="N33" s="1880"/>
      <c r="O33" s="1880"/>
      <c r="P33" s="1880"/>
      <c r="Q33" s="1880"/>
      <c r="S33" s="2762" t="s">
        <v>44</v>
      </c>
      <c r="T33" s="2762"/>
      <c r="U33" s="1884"/>
      <c r="V33" s="2763" t="str">
        <f>IF(TITLE_IST_PUB_CHANGE="",IF(TITLE_IST_PUB="","",TITLE_IST_PUB),TITLE_IST_PUB_CHANGE)</f>
        <v>http://pravo.gov.ru</v>
      </c>
      <c r="W33" s="2763"/>
      <c r="X33" s="2763"/>
      <c r="Y33" s="2763"/>
      <c r="Z33" s="2763"/>
      <c r="AA33" s="838"/>
      <c r="AB33" s="2763" t="str">
        <f>IF(TITLE_IST_PUB_CHANGE="",IF(TITLE_IST_PUB="","",TITLE_IST_PUB),TITLE_IST_PUB_CHANGE)</f>
        <v>http://pravo.gov.ru</v>
      </c>
      <c r="AC33" s="2763"/>
      <c r="AD33" s="2763"/>
      <c r="AE33" s="2763"/>
      <c r="AF33" s="2763"/>
      <c r="AG33" s="2763"/>
      <c r="AH33" s="2763"/>
      <c r="AI33" s="2763"/>
      <c r="AJ33" s="2763"/>
      <c r="AK33" s="2763"/>
      <c r="AL33" s="2763"/>
      <c r="AM33" s="2763"/>
      <c r="AN33" s="2763"/>
      <c r="AO33" s="2763"/>
      <c r="AP33" s="2763"/>
      <c r="AQ33" s="2763"/>
      <c r="AR33" s="2763"/>
      <c r="AS33" s="838"/>
      <c r="AT33" s="838"/>
      <c r="AU33" s="792"/>
      <c r="AV33" s="880"/>
      <c r="AW33" s="880"/>
      <c r="AX33" s="880"/>
      <c r="AY33" s="880"/>
      <c r="AZ33" s="880"/>
      <c r="BA33" s="930">
        <v>0</v>
      </c>
    </row>
    <row customHeight="1" ht="14.25" hidden="1">
      <c r="Q34" s="803"/>
      <c r="R34" s="888"/>
      <c r="S34" s="1787"/>
      <c r="T34" s="875"/>
      <c r="U34" s="875"/>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1021"/>
      <c r="BA34" s="1667">
        <v>0</v>
      </c>
    </row>
    <row s="51018" customFormat="1" customHeight="1" ht="18.75" hidden="1">
      <c r="A35" s="1880"/>
      <c r="B35" s="1880"/>
      <c r="C35" s="1880"/>
      <c r="D35" s="1880"/>
      <c r="E35" s="1880"/>
      <c r="F35" s="1880"/>
      <c r="G35" s="1880"/>
      <c r="H35" s="1880"/>
      <c r="I35" s="1880"/>
      <c r="J35" s="1880"/>
      <c r="K35" s="1880"/>
      <c r="L35" s="1881"/>
      <c r="M35" s="1880"/>
      <c r="N35" s="1880"/>
      <c r="O35" s="1880"/>
      <c r="P35" s="1880"/>
      <c r="Q35" s="1880"/>
      <c r="S35" s="2762" t="s">
        <v>560</v>
      </c>
      <c r="T35" s="2762"/>
      <c r="U35" s="1884"/>
      <c r="V35" s="2776" t="str">
        <f>IF(TITLE_DATE_PR_CHANGE="",IF(TITLE_DATE_PR="","",TITLE_DATE_PR),TITLE_DATE_PR_CHANGE)</f>
        <v>45631.710694444446</v>
      </c>
      <c r="W35" s="2776"/>
      <c r="X35" s="2776"/>
      <c r="Y35" s="2776"/>
      <c r="Z35" s="2776"/>
      <c r="AA35" s="838"/>
      <c r="AB35" s="2776" t="str">
        <f>IF(TITLE_DATE_PR_CHANGE="",IF(TITLE_DATE_PR="","",TITLE_DATE_PR),TITLE_DATE_PR_CHANGE)</f>
        <v>45631.710694444446</v>
      </c>
      <c r="AC35" s="2776"/>
      <c r="AD35" s="2776"/>
      <c r="AE35" s="2776"/>
      <c r="AF35" s="2776"/>
      <c r="AG35" s="2776"/>
      <c r="AH35" s="2776"/>
      <c r="AI35" s="2776"/>
      <c r="AJ35" s="2776"/>
      <c r="AK35" s="2776"/>
      <c r="AL35" s="2776"/>
      <c r="AM35" s="2776"/>
      <c r="AN35" s="2776"/>
      <c r="AO35" s="2776"/>
      <c r="AP35" s="2776"/>
      <c r="AQ35" s="2776"/>
      <c r="AR35" s="2776"/>
      <c r="AS35" s="838"/>
      <c r="AT35" s="838"/>
      <c r="AU35" s="792"/>
      <c r="AV35" s="880"/>
      <c r="AW35" s="880"/>
      <c r="AX35" s="880"/>
      <c r="AY35" s="880"/>
      <c r="AZ35" s="880"/>
      <c r="BA35" s="930">
        <v>0</v>
      </c>
    </row>
    <row s="51018" customFormat="1" customHeight="1" ht="18" hidden="1">
      <c r="A36" s="1880"/>
      <c r="B36" s="1880"/>
      <c r="C36" s="1880"/>
      <c r="D36" s="1880"/>
      <c r="E36" s="1880"/>
      <c r="F36" s="1880"/>
      <c r="G36" s="1880"/>
      <c r="H36" s="1880"/>
      <c r="I36" s="1880"/>
      <c r="J36" s="1880"/>
      <c r="K36" s="1880"/>
      <c r="L36" s="1881"/>
      <c r="M36" s="1880"/>
      <c r="N36" s="1880"/>
      <c r="O36" s="1880"/>
      <c r="P36" s="1880"/>
      <c r="Q36" s="1880"/>
      <c r="S36" s="2762" t="s">
        <v>561</v>
      </c>
      <c r="T36" s="2762"/>
      <c r="U36" s="1884"/>
      <c r="V36" s="2763" t="str">
        <f>IF(TITLE_NUMBER_PR_CHANGE="",IF(TITLE_NUMBER_PR="","",TITLE_NUMBER_PR),TITLE_NUMBER_PR_CHANGE)</f>
        <v>53/9</v>
      </c>
      <c r="W36" s="2763"/>
      <c r="X36" s="2763"/>
      <c r="Y36" s="2763"/>
      <c r="Z36" s="2763"/>
      <c r="AA36" s="838"/>
      <c r="AB36" s="2763" t="str">
        <f>IF(TITLE_NUMBER_PR_CHANGE="",IF(TITLE_NUMBER_PR="","",TITLE_NUMBER_PR),TITLE_NUMBER_PR_CHANGE)</f>
        <v>53/9</v>
      </c>
      <c r="AC36" s="2763"/>
      <c r="AD36" s="2763"/>
      <c r="AE36" s="2763"/>
      <c r="AF36" s="2763"/>
      <c r="AG36" s="2763"/>
      <c r="AH36" s="2763"/>
      <c r="AI36" s="2763"/>
      <c r="AJ36" s="2763"/>
      <c r="AK36" s="2763"/>
      <c r="AL36" s="2763"/>
      <c r="AM36" s="2763"/>
      <c r="AN36" s="2763"/>
      <c r="AO36" s="2763"/>
      <c r="AP36" s="2763"/>
      <c r="AQ36" s="2763"/>
      <c r="AR36" s="2763"/>
      <c r="AS36" s="838"/>
      <c r="AT36" s="838"/>
      <c r="AU36" s="792"/>
      <c r="AV36" s="880"/>
      <c r="AW36" s="880"/>
      <c r="AX36" s="880"/>
      <c r="AY36" s="880"/>
      <c r="AZ36" s="880"/>
      <c r="BA36" s="930">
        <v>0</v>
      </c>
    </row>
    <row s="51018" customFormat="1" customHeight="1" ht="1.05">
      <c r="A37" s="1880"/>
      <c r="B37" s="1880"/>
      <c r="C37" s="1880"/>
      <c r="D37" s="1880"/>
      <c r="E37" s="1880"/>
      <c r="F37" s="1880"/>
      <c r="G37" s="1880"/>
      <c r="H37" s="1880"/>
      <c r="I37" s="1880"/>
      <c r="J37" s="1880"/>
      <c r="K37" s="1880"/>
      <c r="L37" s="1881"/>
      <c r="M37" s="1880"/>
      <c r="N37" s="1880"/>
      <c r="O37" s="1880"/>
      <c r="P37" s="1880"/>
      <c r="Q37" s="1880"/>
      <c r="S37" s="835"/>
      <c r="T37" s="835"/>
      <c r="U37" s="1852"/>
      <c r="V37" s="838"/>
      <c r="W37" s="838"/>
      <c r="X37" s="838"/>
      <c r="Y37" s="838"/>
      <c r="Z37" s="838"/>
      <c r="AA37" s="790" t="s">
        <v>564</v>
      </c>
      <c r="AB37" s="838"/>
      <c r="AC37" s="838"/>
      <c r="AD37" s="838"/>
      <c r="AE37" s="838"/>
      <c r="AF37" s="838"/>
      <c r="AG37" s="838"/>
      <c r="AH37" s="838"/>
      <c r="AI37" s="838"/>
      <c r="AJ37" s="838"/>
      <c r="AK37" s="838"/>
      <c r="AL37" s="838"/>
      <c r="AM37" s="838"/>
      <c r="AN37" s="838"/>
      <c r="AO37" s="838"/>
      <c r="AP37" s="838"/>
      <c r="AQ37" s="838"/>
      <c r="AR37" s="838"/>
      <c r="AS37" s="790" t="s">
        <v>564</v>
      </c>
      <c r="AV37" s="880"/>
      <c r="AW37" s="880"/>
      <c r="AX37" s="880"/>
      <c r="AY37" s="880"/>
      <c r="AZ37" s="880"/>
      <c r="BA37" s="930">
        <v>1</v>
      </c>
    </row>
    <row customHeight="1" ht="14.699999999999998">
      <c r="Q38" s="803"/>
      <c r="R38" s="888"/>
      <c r="S38" s="1787"/>
      <c r="T38" s="875"/>
      <c r="U38" s="1756"/>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667">
        <v>14</v>
      </c>
    </row>
    <row customHeight="1" ht="14.699999999999998">
      <c r="Q39" s="803"/>
      <c r="R39" s="888"/>
      <c r="S39" s="2639" t="s">
        <v>439</v>
      </c>
      <c r="T39" s="2639"/>
      <c r="U39" s="2639"/>
      <c r="V39" s="2639"/>
      <c r="W39" s="2639"/>
      <c r="X39" s="2639"/>
      <c r="Y39" s="2639"/>
      <c r="Z39" s="2639"/>
      <c r="AA39" s="2639"/>
      <c r="AB39" s="2687"/>
      <c r="AC39" s="2687"/>
      <c r="AD39" s="2687"/>
      <c r="AE39" s="2687"/>
      <c r="AF39" s="2639"/>
      <c r="AG39" s="2639"/>
      <c r="AH39" s="2639"/>
      <c r="AI39" s="2639"/>
      <c r="AJ39" s="2639"/>
      <c r="AK39" s="2639"/>
      <c r="AL39" s="2639"/>
      <c r="AM39" s="2639"/>
      <c r="AN39" s="2639"/>
      <c r="AO39" s="2639"/>
      <c r="AP39" s="2639"/>
      <c r="AQ39" s="2639"/>
      <c r="AR39" s="2639"/>
      <c r="AS39" s="2639"/>
      <c r="AT39" s="2639"/>
      <c r="AU39" s="2639" t="s">
        <v>440</v>
      </c>
      <c r="BA39" s="1667">
        <v>14</v>
      </c>
    </row>
    <row customHeight="1" ht="14.699999999999998">
      <c r="Q40" s="803"/>
      <c r="R40" s="888"/>
      <c r="S40" s="2785" t="s">
        <v>90</v>
      </c>
      <c r="T40" s="2721" t="s">
        <v>609</v>
      </c>
      <c r="U40" s="813"/>
      <c r="V40" s="2787"/>
      <c r="W40" s="2787"/>
      <c r="X40" s="2787"/>
      <c r="Y40" s="2787"/>
      <c r="Z40" s="2788"/>
      <c r="AA40" s="2848" t="s">
        <v>567</v>
      </c>
      <c r="AB40" s="2840" t="s">
        <v>610</v>
      </c>
      <c r="AC40" s="2803"/>
      <c r="AD40" s="2803"/>
      <c r="AE40" s="2841"/>
      <c r="AF40" s="2803" t="s">
        <v>611</v>
      </c>
      <c r="AG40" s="2803"/>
      <c r="AH40" s="2803"/>
      <c r="AI40" s="2841"/>
      <c r="AJ40" s="2840" t="s">
        <v>612</v>
      </c>
      <c r="AK40" s="2803"/>
      <c r="AL40" s="2803"/>
      <c r="AM40" s="2841"/>
      <c r="AN40" s="2840" t="s">
        <v>566</v>
      </c>
      <c r="AO40" s="2803"/>
      <c r="AP40" s="2787"/>
      <c r="AQ40" s="2787"/>
      <c r="AR40" s="2788"/>
      <c r="AS40" s="2789" t="s">
        <v>567</v>
      </c>
      <c r="AT40" s="2792" t="s">
        <v>569</v>
      </c>
      <c r="AU40" s="2639"/>
      <c r="BA40" s="1667">
        <v>14</v>
      </c>
    </row>
    <row customHeight="1" ht="35.699999999999996">
      <c r="Q41" s="803"/>
      <c r="R41" s="888"/>
      <c r="S41" s="2785"/>
      <c r="T41" s="2721"/>
      <c r="U41" s="1543"/>
      <c r="V41" s="2639" t="s">
        <v>613</v>
      </c>
      <c r="W41" s="2639"/>
      <c r="X41" s="2806" t="s">
        <v>573</v>
      </c>
      <c r="Y41" s="2825"/>
      <c r="Z41" s="2826"/>
      <c r="AA41" s="2849"/>
      <c r="AB41" s="2842"/>
      <c r="AC41" s="2843"/>
      <c r="AD41" s="2843"/>
      <c r="AE41" s="2844"/>
      <c r="AF41" s="2843"/>
      <c r="AG41" s="2843"/>
      <c r="AH41" s="2843"/>
      <c r="AI41" s="2844"/>
      <c r="AJ41" s="2842"/>
      <c r="AK41" s="2843"/>
      <c r="AL41" s="2843"/>
      <c r="AM41" s="2843"/>
      <c r="AN41" s="2639" t="s">
        <v>613</v>
      </c>
      <c r="AO41" s="2639"/>
      <c r="AP41" s="2825" t="s">
        <v>573</v>
      </c>
      <c r="AQ41" s="2825"/>
      <c r="AR41" s="2826"/>
      <c r="AS41" s="2790"/>
      <c r="AT41" s="2793"/>
      <c r="AU41" s="2639"/>
      <c r="BA41" s="1667">
        <v>34</v>
      </c>
    </row>
    <row customHeight="1" ht="14.699999999999998">
      <c r="Q42" s="803"/>
      <c r="R42" s="888"/>
      <c r="S42" s="2785"/>
      <c r="T42" s="2721"/>
      <c r="U42" s="1543"/>
      <c r="V42" s="2852" t="str">
        <f>IF($AN$42&lt;&gt;"",$AN$42,"")</f>
        <v/>
      </c>
      <c r="W42" s="2852"/>
      <c r="X42" s="2807"/>
      <c r="Y42" s="2827"/>
      <c r="Z42" s="2828"/>
      <c r="AA42" s="2849"/>
      <c r="AB42" s="2842"/>
      <c r="AC42" s="2843"/>
      <c r="AD42" s="2843"/>
      <c r="AE42" s="2844"/>
      <c r="AF42" s="2843"/>
      <c r="AG42" s="2843"/>
      <c r="AH42" s="2843"/>
      <c r="AI42" s="2844"/>
      <c r="AJ42" s="2842"/>
      <c r="AK42" s="2843"/>
      <c r="AL42" s="2843"/>
      <c r="AM42" s="2843"/>
      <c r="AN42" s="2851"/>
      <c r="AO42" s="2851"/>
      <c r="AP42" s="2827"/>
      <c r="AQ42" s="2827"/>
      <c r="AR42" s="2828"/>
      <c r="AS42" s="2790"/>
      <c r="AT42" s="2793"/>
      <c r="AU42" s="2639"/>
      <c r="BA42" s="1667">
        <v>14</v>
      </c>
    </row>
    <row customHeight="1" ht="14.699999999999998">
      <c r="A43" s="1882"/>
      <c r="B43" s="1882" t="s">
        <v>201</v>
      </c>
      <c r="C43" s="1882" t="s">
        <v>202</v>
      </c>
      <c r="D43" s="1882" t="s">
        <v>203</v>
      </c>
      <c r="E43" s="1876" t="s">
        <v>574</v>
      </c>
      <c r="F43" s="1876" t="s">
        <v>575</v>
      </c>
      <c r="G43" s="1876" t="s">
        <v>576</v>
      </c>
      <c r="H43" s="1876" t="s">
        <v>577</v>
      </c>
      <c r="I43" s="1876" t="s">
        <v>578</v>
      </c>
      <c r="J43" s="1876" t="s">
        <v>579</v>
      </c>
      <c r="K43" s="1876" t="s">
        <v>580</v>
      </c>
      <c r="L43" s="1876" t="s">
        <v>555</v>
      </c>
      <c r="Q43" s="803"/>
      <c r="R43" s="888"/>
      <c r="S43" s="2785"/>
      <c r="T43" s="2721"/>
      <c r="U43" s="814"/>
      <c r="V43" s="1842" t="s">
        <v>614</v>
      </c>
      <c r="W43" s="1842" t="s">
        <v>615</v>
      </c>
      <c r="X43" s="1850" t="s">
        <v>583</v>
      </c>
      <c r="Y43" s="2782" t="s">
        <v>584</v>
      </c>
      <c r="Z43" s="2783"/>
      <c r="AA43" s="2850"/>
      <c r="AB43" s="2845"/>
      <c r="AC43" s="2846"/>
      <c r="AD43" s="2846"/>
      <c r="AE43" s="2847"/>
      <c r="AF43" s="2846"/>
      <c r="AG43" s="2846"/>
      <c r="AH43" s="2846"/>
      <c r="AI43" s="2847"/>
      <c r="AJ43" s="2845"/>
      <c r="AK43" s="2846"/>
      <c r="AL43" s="2846"/>
      <c r="AM43" s="2847"/>
      <c r="AN43" s="2372" t="s">
        <v>614</v>
      </c>
      <c r="AO43" s="2372" t="s">
        <v>615</v>
      </c>
      <c r="AP43" s="1850" t="s">
        <v>583</v>
      </c>
      <c r="AQ43" s="2782" t="s">
        <v>584</v>
      </c>
      <c r="AR43" s="2783"/>
      <c r="AS43" s="2791"/>
      <c r="AT43" s="2794"/>
      <c r="AU43" s="2639"/>
      <c r="BA43" s="1667">
        <v>14</v>
      </c>
    </row>
    <row s="51564" customFormat="1" customHeight="1" ht="11.25" hidden="1">
      <c r="A44" s="1882"/>
      <c r="B44" s="1882"/>
      <c r="C44" s="1882"/>
      <c r="D44" s="1882"/>
      <c r="E44" s="1882"/>
      <c r="F44" s="1882"/>
      <c r="G44" s="1882"/>
      <c r="H44" s="1882"/>
      <c r="I44" s="1882"/>
      <c r="J44" s="1882"/>
      <c r="K44" s="1882"/>
      <c r="L44" s="1876"/>
      <c r="M44" s="1874"/>
      <c r="N44" s="1874"/>
      <c r="O44" s="1874"/>
      <c r="P44" s="1022"/>
      <c r="Q44" s="1766"/>
      <c r="R44" s="1766">
        <v>1</v>
      </c>
      <c r="S44" s="1789" t="s">
        <v>101</v>
      </c>
      <c r="T44" s="1767" t="s">
        <v>105</v>
      </c>
      <c r="U44" s="1757" t="str">
        <f>OFFSET(U44,0,-1)</f>
        <v>2</v>
      </c>
      <c r="V44" s="1847">
        <f>OFFSET(V44,0,-1)+1</f>
        <v>3</v>
      </c>
      <c r="W44" s="1847">
        <f>OFFSET(W44,0,-1)+1</f>
        <v>4</v>
      </c>
      <c r="X44" s="1847">
        <f>OFFSET(X44,0,-1)+1</f>
        <v>5</v>
      </c>
      <c r="Y44" s="2784">
        <f>OFFSET(Y44,0,-1)+1</f>
        <v>6</v>
      </c>
      <c r="Z44" s="2784"/>
      <c r="AA44" s="1847">
        <f>OFFSET(AA44,0,-2)+1</f>
        <v>7</v>
      </c>
      <c r="AB44" s="1853">
        <f>OFFSET(AB44,0,-1)+1</f>
        <v>8</v>
      </c>
      <c r="AC44" s="1853"/>
      <c r="AD44" s="1853"/>
      <c r="AE44" s="1853"/>
      <c r="AF44" s="1847"/>
      <c r="AG44" s="1847"/>
      <c r="AH44" s="1847"/>
      <c r="AI44" s="1847"/>
      <c r="AJ44" s="1847"/>
      <c r="AK44" s="1847"/>
      <c r="AL44" s="1847"/>
      <c r="AM44" s="1847"/>
      <c r="AN44" s="1847">
        <f>OFFSET(AN44,0,-1)+1</f>
        <v>1</v>
      </c>
      <c r="AO44" s="1847">
        <f>OFFSET(AO44,0,-1)+1</f>
        <v>2</v>
      </c>
      <c r="AP44" s="1847">
        <f>OFFSET(AP44,0,-1)+1</f>
        <v>3</v>
      </c>
      <c r="AQ44" s="2784">
        <f>OFFSET(AQ44,0,-1)+1</f>
        <v>4</v>
      </c>
      <c r="AR44" s="2784"/>
      <c r="AS44" s="1847">
        <f>OFFSET(AS44,0,-2)+1</f>
        <v>5</v>
      </c>
      <c r="AT44" s="1757">
        <f>OFFSET(AT44,0,-1)</f>
        <v>5</v>
      </c>
      <c r="AU44" s="1847">
        <f>OFFSET(AU44,0,-1)+1</f>
        <v>6</v>
      </c>
      <c r="AV44" s="1023"/>
      <c r="AW44" s="1023"/>
      <c r="AX44" s="1023"/>
      <c r="AY44" s="1023"/>
      <c r="AZ44" s="1023"/>
      <c r="BA44" s="1008">
        <v>0</v>
      </c>
    </row>
    <row customHeight="1" ht="107.25">
      <c r="A45" s="1875" t="s">
        <v>258</v>
      </c>
      <c r="B45" s="1875"/>
      <c r="C45" s="1875"/>
      <c r="D45" s="1875"/>
      <c r="E45" s="2770">
        <v>1</v>
      </c>
      <c r="F45" s="1875"/>
      <c r="G45" s="1875"/>
      <c r="H45" s="1875"/>
      <c r="I45" s="1875"/>
      <c r="J45" s="1875"/>
      <c r="K45" s="1875"/>
      <c r="L45" s="1876"/>
      <c r="M45" s="1877"/>
      <c r="N45" s="1877"/>
      <c r="O45" s="1877"/>
      <c r="P45" s="1921"/>
      <c r="Q45" s="1385"/>
      <c r="R45" s="867"/>
      <c r="S45" s="1848">
        <f>INDEX(PT_DIFFERENTIATION_NUM_NTAR,MATCH(A45,PT_DIFFERENTIATION_NTAR_ID,0))</f>
        <v>0</v>
      </c>
      <c r="T45" s="810" t="s">
        <v>189</v>
      </c>
      <c r="U45" s="812"/>
      <c r="V45" s="2755"/>
      <c r="W45" s="2755"/>
      <c r="X45" s="2755"/>
      <c r="Y45" s="2755"/>
      <c r="Z45" s="2755"/>
      <c r="AA45" s="2756"/>
      <c r="AB45" s="2754" t="str">
        <f>INDEX(PT_DIFFERENTIATION_NTAR,MATCH(A45,PT_DIFFERENTIATION_NTAR_ID,0))</f>
        <v/>
      </c>
      <c r="AC45" s="2755"/>
      <c r="AD45" s="2755"/>
      <c r="AE45" s="2755"/>
      <c r="AF45" s="2755"/>
      <c r="AG45" s="2755"/>
      <c r="AH45" s="2755"/>
      <c r="AI45" s="2755"/>
      <c r="AJ45" s="2755"/>
      <c r="AK45" s="2755"/>
      <c r="AL45" s="2755"/>
      <c r="AM45" s="2755"/>
      <c r="AN45" s="2755"/>
      <c r="AO45" s="2755"/>
      <c r="AP45" s="2755"/>
      <c r="AQ45" s="2755"/>
      <c r="AR45" s="2755"/>
      <c r="AS45" s="2755"/>
      <c r="AT45" s="2756"/>
      <c r="AU45"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1012"/>
      <c r="AX45" s="1012" t="str">
        <f>IF(T45="","",T45)</f>
        <v>Наименование тарифа</v>
      </c>
      <c r="AY45" s="1012"/>
      <c r="AZ45" s="1012"/>
      <c r="BA45" s="1667">
        <v>102</v>
      </c>
    </row>
    <row customHeight="1" ht="22.049999999999997">
      <c r="A46" s="1875" t="s">
        <v>258</v>
      </c>
      <c r="B46" s="1875" t="s">
        <v>259</v>
      </c>
      <c r="C46" s="1875"/>
      <c r="D46" s="1875"/>
      <c r="E46" s="2771"/>
      <c r="F46" s="2770">
        <v>1</v>
      </c>
      <c r="G46" s="1875"/>
      <c r="H46" s="1875"/>
      <c r="I46" s="1875"/>
      <c r="J46" s="1875"/>
      <c r="K46" s="1875"/>
      <c r="L46" s="1876"/>
      <c r="M46" s="1877"/>
      <c r="N46" s="1877"/>
      <c r="O46" s="1877"/>
      <c r="P46" s="1922"/>
      <c r="Q46" s="1923"/>
      <c r="R46" s="865"/>
      <c r="S46" s="1848" t="str">
        <f>INDEX(PT_DIFFERENTIATION_NUM_TER,MATCH(B46,PT_DIFFERENTIATION_TER_ID,0))</f>
        <v>.</v>
      </c>
      <c r="T46" s="820" t="s">
        <v>536</v>
      </c>
      <c r="U46" s="812"/>
      <c r="V46" s="2755"/>
      <c r="W46" s="2755"/>
      <c r="X46" s="2755"/>
      <c r="Y46" s="2755"/>
      <c r="Z46" s="2755"/>
      <c r="AA46" s="2756"/>
      <c r="AB46" s="2754" t="str">
        <f>INDEX(PT_DIFFERENTIATION_TER,MATCH(B46,PT_DIFFERENTIATION_TER_ID,0))</f>
        <v/>
      </c>
      <c r="AC46" s="2755"/>
      <c r="AD46" s="2755"/>
      <c r="AE46" s="2755"/>
      <c r="AF46" s="2755"/>
      <c r="AG46" s="2755"/>
      <c r="AH46" s="2755"/>
      <c r="AI46" s="2755"/>
      <c r="AJ46" s="2755"/>
      <c r="AK46" s="2755"/>
      <c r="AL46" s="2755"/>
      <c r="AM46" s="2755"/>
      <c r="AN46" s="2755"/>
      <c r="AO46" s="2755"/>
      <c r="AP46" s="2755"/>
      <c r="AQ46" s="2755"/>
      <c r="AR46" s="2755"/>
      <c r="AS46" s="2755"/>
      <c r="AT46" s="2756"/>
      <c r="AU46" s="1770" t="s">
        <v>537</v>
      </c>
      <c r="AW46" s="1012"/>
      <c r="AX46" s="1012" t="str">
        <f>IF(T46="","",T46)</f>
        <v>Территория действия тарифа</v>
      </c>
      <c r="AY46" s="1012"/>
      <c r="AZ46" s="1012"/>
      <c r="BA46" s="1667">
        <v>21</v>
      </c>
    </row>
    <row customHeight="1" ht="24">
      <c r="A47" s="1875" t="s">
        <v>258</v>
      </c>
      <c r="B47" s="1875" t="s">
        <v>259</v>
      </c>
      <c r="C47" s="1875" t="s">
        <v>260</v>
      </c>
      <c r="D47" s="1875"/>
      <c r="E47" s="2771"/>
      <c r="F47" s="2771"/>
      <c r="G47" s="2770">
        <v>1</v>
      </c>
      <c r="H47" s="1875"/>
      <c r="I47" s="1875"/>
      <c r="J47" s="1875"/>
      <c r="K47" s="1875"/>
      <c r="L47" s="1876"/>
      <c r="M47" s="1877"/>
      <c r="N47" s="1877"/>
      <c r="O47" s="1877"/>
      <c r="P47" s="1924"/>
      <c r="Q47" s="1923"/>
      <c r="R47" s="865"/>
      <c r="S47" s="1848" t="str">
        <f>INDEX(PT_DIFFERENTIATION_NUM_CS,MATCH(C47,PT_DIFFERENTIATION_CS_ID,0))</f>
        <v>..</v>
      </c>
      <c r="T47" s="821" t="s">
        <v>538</v>
      </c>
      <c r="U47" s="812"/>
      <c r="V47" s="2755"/>
      <c r="W47" s="2755"/>
      <c r="X47" s="2755"/>
      <c r="Y47" s="2755"/>
      <c r="Z47" s="2755"/>
      <c r="AA47" s="2756"/>
      <c r="AB47" s="2754" t="str">
        <f>INDEX(PT_DIFFERENTIATION_CS,MATCH(C47,PT_DIFFERENTIATION_CS_ID,0))</f>
        <v/>
      </c>
      <c r="AC47" s="2755"/>
      <c r="AD47" s="2755"/>
      <c r="AE47" s="2755"/>
      <c r="AF47" s="2755"/>
      <c r="AG47" s="2755"/>
      <c r="AH47" s="2755"/>
      <c r="AI47" s="2755"/>
      <c r="AJ47" s="2755"/>
      <c r="AK47" s="2755"/>
      <c r="AL47" s="2755"/>
      <c r="AM47" s="2755"/>
      <c r="AN47" s="2755"/>
      <c r="AO47" s="2755"/>
      <c r="AP47" s="2755"/>
      <c r="AQ47" s="2755"/>
      <c r="AR47" s="2755"/>
      <c r="AS47" s="2755"/>
      <c r="AT47" s="2756"/>
      <c r="AU47" s="1770" t="s">
        <v>539</v>
      </c>
      <c r="AW47" s="1012"/>
      <c r="AX47" s="1012" t="str">
        <f>IF(T47="","",T47)</f>
        <v>Наименование системы теплоснабжения </v>
      </c>
      <c r="AY47" s="1012"/>
      <c r="AZ47" s="1012"/>
      <c r="BA47" s="1667">
        <v>23</v>
      </c>
    </row>
    <row customHeight="1" ht="21">
      <c r="A48" s="1875" t="s">
        <v>258</v>
      </c>
      <c r="B48" s="1875" t="s">
        <v>259</v>
      </c>
      <c r="C48" s="1875" t="s">
        <v>260</v>
      </c>
      <c r="D48" s="1875" t="s">
        <v>261</v>
      </c>
      <c r="E48" s="2771"/>
      <c r="F48" s="2771"/>
      <c r="G48" s="2771"/>
      <c r="H48" s="2770">
        <v>1</v>
      </c>
      <c r="I48" s="1875"/>
      <c r="J48" s="1875"/>
      <c r="K48" s="1875"/>
      <c r="L48" s="1876"/>
      <c r="M48" s="1877"/>
      <c r="N48" s="1877"/>
      <c r="O48" s="1877"/>
      <c r="P48" s="1924"/>
      <c r="Q48" s="1923"/>
      <c r="R48" s="865"/>
      <c r="S48" s="1848" t="str">
        <f>INDEX(PT_DIFFERENTIATION_NUM_IST_TE,MATCH(D48,PT_DIFFERENTIATION_IST_TE_ID,0))</f>
        <v>...</v>
      </c>
      <c r="T48" s="822" t="s">
        <v>540</v>
      </c>
      <c r="U48" s="812"/>
      <c r="V48" s="2755"/>
      <c r="W48" s="2755"/>
      <c r="X48" s="2755"/>
      <c r="Y48" s="2755"/>
      <c r="Z48" s="2755"/>
      <c r="AA48" s="2756"/>
      <c r="AB48" s="2754" t="str">
        <f>INDEX(PT_DIFFERENTIATION_IST_TE,MATCH(D48,PT_DIFFERENTIATION_IST_TE_ID,0))</f>
        <v/>
      </c>
      <c r="AC48" s="2755"/>
      <c r="AD48" s="2755"/>
      <c r="AE48" s="2755"/>
      <c r="AF48" s="2755"/>
      <c r="AG48" s="2755"/>
      <c r="AH48" s="2755"/>
      <c r="AI48" s="2755"/>
      <c r="AJ48" s="2755"/>
      <c r="AK48" s="2755"/>
      <c r="AL48" s="2755"/>
      <c r="AM48" s="2755"/>
      <c r="AN48" s="2755"/>
      <c r="AO48" s="2755"/>
      <c r="AP48" s="2755"/>
      <c r="AQ48" s="2755"/>
      <c r="AR48" s="2755"/>
      <c r="AS48" s="2755"/>
      <c r="AT48" s="2756"/>
      <c r="AU48" s="1770" t="s">
        <v>541</v>
      </c>
      <c r="AW48" s="1012"/>
      <c r="AX48" s="1012" t="str">
        <f>IF(T48="","",T48)</f>
        <v>Источник тепловой энергии  </v>
      </c>
      <c r="AY48" s="1012"/>
      <c r="AZ48" s="1012"/>
      <c r="BA48" s="1667">
        <v>20</v>
      </c>
    </row>
    <row s="50882" customFormat="1" customHeight="1" ht="1.05">
      <c r="A49" s="1855" t="s">
        <v>258</v>
      </c>
      <c r="B49" s="1855" t="s">
        <v>259</v>
      </c>
      <c r="C49" s="1855" t="s">
        <v>260</v>
      </c>
      <c r="D49" s="1855" t="s">
        <v>261</v>
      </c>
      <c r="E49" s="2771"/>
      <c r="F49" s="2771"/>
      <c r="G49" s="2771"/>
      <c r="H49" s="2771"/>
      <c r="I49" s="2768" t="str">
        <f>S48&amp;".1"</f>
        <v>....1</v>
      </c>
      <c r="J49" s="1855"/>
      <c r="K49" s="1855"/>
      <c r="L49" s="1858" t="s">
        <v>542</v>
      </c>
      <c r="M49" s="1022"/>
      <c r="N49" s="1022"/>
      <c r="O49" s="1022"/>
      <c r="P49" s="2769">
        <v>1</v>
      </c>
      <c r="Q49" s="1843"/>
      <c r="R49" s="868"/>
      <c r="S49" s="1554"/>
      <c r="T49" s="1895"/>
      <c r="U49" s="1896"/>
      <c r="V49" s="2809"/>
      <c r="W49" s="2809"/>
      <c r="X49" s="2809"/>
      <c r="Y49" s="2809"/>
      <c r="Z49" s="2809"/>
      <c r="AA49" s="2810"/>
      <c r="AB49" s="2808"/>
      <c r="AC49" s="2809"/>
      <c r="AD49" s="2809"/>
      <c r="AE49" s="2809"/>
      <c r="AF49" s="2809"/>
      <c r="AG49" s="2809"/>
      <c r="AH49" s="2809"/>
      <c r="AI49" s="2809"/>
      <c r="AJ49" s="2809"/>
      <c r="AK49" s="2809"/>
      <c r="AL49" s="2809"/>
      <c r="AM49" s="2809"/>
      <c r="AN49" s="2809"/>
      <c r="AO49" s="2809"/>
      <c r="AP49" s="2809"/>
      <c r="AQ49" s="2809"/>
      <c r="AR49" s="2809"/>
      <c r="AS49" s="2809"/>
      <c r="AT49" s="2810"/>
      <c r="AU49" s="1897"/>
      <c r="AW49" s="1012"/>
      <c r="AX49" s="1012" t="str">
        <f>IF(T49="","",T49)</f>
        <v/>
      </c>
      <c r="AY49" s="1012"/>
      <c r="AZ49" s="1012"/>
      <c r="BA49" s="1023">
        <v>1</v>
      </c>
    </row>
    <row s="50882" customFormat="1" customHeight="1" ht="1.05">
      <c r="A50" s="1855" t="s">
        <v>258</v>
      </c>
      <c r="B50" s="1855" t="s">
        <v>259</v>
      </c>
      <c r="C50" s="1855" t="s">
        <v>260</v>
      </c>
      <c r="D50" s="1855" t="s">
        <v>261</v>
      </c>
      <c r="E50" s="2771"/>
      <c r="F50" s="2771"/>
      <c r="G50" s="2771"/>
      <c r="H50" s="2771"/>
      <c r="I50" s="2798"/>
      <c r="J50" s="2768" t="str">
        <f>S48&amp;".1"</f>
        <v>....1</v>
      </c>
      <c r="K50" s="1855"/>
      <c r="L50" s="1858"/>
      <c r="M50" s="1022"/>
      <c r="N50" s="1022"/>
      <c r="O50" s="1022"/>
      <c r="P50" s="2769"/>
      <c r="Q50" s="2769">
        <v>1</v>
      </c>
      <c r="R50" s="869"/>
      <c r="S50" s="1554"/>
      <c r="T50" s="1911"/>
      <c r="U50" s="1896"/>
      <c r="V50" s="2809"/>
      <c r="W50" s="2809"/>
      <c r="X50" s="2809"/>
      <c r="Y50" s="2809"/>
      <c r="Z50" s="2809"/>
      <c r="AA50" s="2810"/>
      <c r="AB50" s="2808"/>
      <c r="AC50" s="2809"/>
      <c r="AD50" s="2809"/>
      <c r="AE50" s="2809"/>
      <c r="AF50" s="2809"/>
      <c r="AG50" s="2809"/>
      <c r="AH50" s="2809"/>
      <c r="AI50" s="2809"/>
      <c r="AJ50" s="2809"/>
      <c r="AK50" s="2809"/>
      <c r="AL50" s="2809"/>
      <c r="AM50" s="2809"/>
      <c r="AN50" s="2809"/>
      <c r="AO50" s="2809"/>
      <c r="AP50" s="2809"/>
      <c r="AQ50" s="2809"/>
      <c r="AR50" s="2809"/>
      <c r="AS50" s="2809"/>
      <c r="AT50" s="2810"/>
      <c r="AU50" s="1897"/>
      <c r="AW50" s="1012"/>
      <c r="AX50" s="1012" t="str">
        <f>IF(T50="","",T50)</f>
        <v/>
      </c>
      <c r="AY50" s="1012"/>
      <c r="AZ50" s="1012"/>
      <c r="BA50" s="1023">
        <v>1</v>
      </c>
    </row>
    <row customHeight="1" ht="22.049999999999997">
      <c r="A51" s="1875" t="s">
        <v>258</v>
      </c>
      <c r="B51" s="1875" t="s">
        <v>259</v>
      </c>
      <c r="C51" s="1875" t="s">
        <v>260</v>
      </c>
      <c r="D51" s="1875" t="s">
        <v>261</v>
      </c>
      <c r="E51" s="2771"/>
      <c r="F51" s="2771"/>
      <c r="G51" s="2771"/>
      <c r="H51" s="2771"/>
      <c r="I51" s="2798"/>
      <c r="J51" s="2798"/>
      <c r="K51" s="2768" t="str">
        <f>S48&amp;".1"</f>
        <v>....1</v>
      </c>
      <c r="L51" s="1876"/>
      <c r="P51" s="2769"/>
      <c r="Q51" s="2769"/>
      <c r="R51" s="869">
        <v>1</v>
      </c>
      <c r="S51" s="2853" t="str">
        <f>$K51</f>
        <v>....1</v>
      </c>
      <c r="T51" s="2856"/>
      <c r="U51" s="812"/>
      <c r="V51" s="1263"/>
      <c r="W51" s="1769"/>
      <c r="X51" s="2246"/>
      <c r="Y51" s="1971" t="s">
        <v>63</v>
      </c>
      <c r="Z51" s="2246"/>
      <c r="AA51" s="1971" t="s">
        <v>63</v>
      </c>
      <c r="AB51" s="2619" t="s">
        <v>19</v>
      </c>
      <c r="AC51" s="2838"/>
      <c r="AD51" s="2717">
        <v>1</v>
      </c>
      <c r="AE51" s="2860" t="s">
        <v>28</v>
      </c>
      <c r="AF51" s="2619" t="s">
        <v>19</v>
      </c>
      <c r="AG51" s="2838"/>
      <c r="AH51" s="2717">
        <v>1</v>
      </c>
      <c r="AI51" s="2860" t="s">
        <v>28</v>
      </c>
      <c r="AJ51" s="2619" t="s">
        <v>19</v>
      </c>
      <c r="AK51" s="823"/>
      <c r="AL51" s="1849">
        <v>1</v>
      </c>
      <c r="AM51" s="1914"/>
      <c r="AN51" s="1263"/>
      <c r="AO51" s="1769"/>
      <c r="AP51" s="2246"/>
      <c r="AQ51" s="1971" t="s">
        <v>63</v>
      </c>
      <c r="AR51" s="2246"/>
      <c r="AS51" s="1971" t="s">
        <v>63</v>
      </c>
      <c r="AT51" s="1860"/>
      <c r="AU51" s="2765" t="s">
        <v>616</v>
      </c>
      <c r="AV51" s="1023">
        <f>STRCHECKDATE(V54:AT54)</f>
      </c>
      <c r="AW51" s="1012"/>
      <c r="AX51" s="1012" t="str">
        <f>IF(T51="","",T51)</f>
        <v/>
      </c>
      <c r="AY51" s="1012"/>
      <c r="AZ51" s="1012"/>
      <c r="BA51" s="1667">
        <v>21</v>
      </c>
    </row>
    <row customHeight="1" ht="11.549999999999999">
      <c r="A52" s="1875" t="s">
        <v>258</v>
      </c>
      <c r="B52" s="1875"/>
      <c r="C52" s="1875"/>
      <c r="D52" s="1875"/>
      <c r="E52" s="2771"/>
      <c r="F52" s="2771"/>
      <c r="G52" s="2771"/>
      <c r="H52" s="2771"/>
      <c r="I52" s="2798"/>
      <c r="J52" s="2798"/>
      <c r="K52" s="2768"/>
      <c r="L52" s="1876"/>
      <c r="P52" s="2769"/>
      <c r="Q52" s="2769"/>
      <c r="R52" s="869"/>
      <c r="S52" s="2854"/>
      <c r="T52" s="2857"/>
      <c r="U52" s="812"/>
      <c r="V52" s="1905"/>
      <c r="W52" s="2008"/>
      <c r="X52" s="1905"/>
      <c r="Y52" s="1905"/>
      <c r="Z52" s="1905"/>
      <c r="AA52" s="1905"/>
      <c r="AB52" s="2619"/>
      <c r="AC52" s="2838"/>
      <c r="AD52" s="2717"/>
      <c r="AE52" s="2860"/>
      <c r="AF52" s="2619"/>
      <c r="AG52" s="2838"/>
      <c r="AH52" s="2717"/>
      <c r="AI52" s="2860"/>
      <c r="AJ52" s="2619"/>
      <c r="AK52" s="828"/>
      <c r="AL52" s="928"/>
      <c r="AM52" s="927" t="s">
        <v>601</v>
      </c>
      <c r="AN52" s="1905"/>
      <c r="AO52" s="2008"/>
      <c r="AP52" s="1905"/>
      <c r="AQ52" s="1905"/>
      <c r="AR52" s="1905"/>
      <c r="AS52" s="1905"/>
      <c r="AT52" s="1902"/>
      <c r="AU52" s="2766"/>
      <c r="AW52" s="1012"/>
      <c r="AX52" s="1012"/>
      <c r="AY52" s="1012"/>
      <c r="AZ52" s="1012"/>
      <c r="BA52" s="1667">
        <v>11</v>
      </c>
    </row>
    <row customHeight="1" ht="11.549999999999999">
      <c r="A53" s="1875" t="s">
        <v>258</v>
      </c>
      <c r="B53" s="1875"/>
      <c r="C53" s="1875"/>
      <c r="D53" s="1875"/>
      <c r="E53" s="2771"/>
      <c r="F53" s="2771"/>
      <c r="G53" s="2771"/>
      <c r="H53" s="2771"/>
      <c r="I53" s="2798"/>
      <c r="J53" s="2798"/>
      <c r="K53" s="2768"/>
      <c r="L53" s="1876"/>
      <c r="P53" s="2769"/>
      <c r="Q53" s="2769"/>
      <c r="R53" s="869"/>
      <c r="S53" s="2854"/>
      <c r="T53" s="2857"/>
      <c r="U53" s="812"/>
      <c r="V53" s="1905"/>
      <c r="W53" s="2008"/>
      <c r="X53" s="1905"/>
      <c r="Y53" s="1905"/>
      <c r="Z53" s="1905"/>
      <c r="AA53" s="1905"/>
      <c r="AB53" s="2619"/>
      <c r="AC53" s="2838"/>
      <c r="AD53" s="2717"/>
      <c r="AE53" s="2860"/>
      <c r="AF53" s="2619"/>
      <c r="AG53" s="806"/>
      <c r="AH53" s="927"/>
      <c r="AI53" s="927" t="s">
        <v>602</v>
      </c>
      <c r="AJ53" s="1905"/>
      <c r="AK53" s="1905"/>
      <c r="AL53" s="1905"/>
      <c r="AM53" s="1905"/>
      <c r="AN53" s="1905"/>
      <c r="AO53" s="2008"/>
      <c r="AP53" s="1905"/>
      <c r="AQ53" s="1905"/>
      <c r="AR53" s="1905"/>
      <c r="AS53" s="1905"/>
      <c r="AT53" s="1902"/>
      <c r="AU53" s="2766"/>
      <c r="AW53" s="1012"/>
      <c r="AX53" s="1012"/>
      <c r="AY53" s="1012"/>
      <c r="AZ53" s="1012"/>
      <c r="BA53" s="1667">
        <v>11</v>
      </c>
    </row>
    <row customHeight="1" ht="11.549999999999999">
      <c r="A54" s="1875" t="s">
        <v>258</v>
      </c>
      <c r="B54" s="1875" t="s">
        <v>259</v>
      </c>
      <c r="C54" s="1875" t="s">
        <v>260</v>
      </c>
      <c r="D54" s="1875" t="s">
        <v>261</v>
      </c>
      <c r="E54" s="2771"/>
      <c r="F54" s="2771"/>
      <c r="G54" s="2771"/>
      <c r="H54" s="2771"/>
      <c r="I54" s="2798"/>
      <c r="J54" s="2798"/>
      <c r="K54" s="2768"/>
      <c r="L54" s="1876"/>
      <c r="P54" s="2769"/>
      <c r="Q54" s="2769"/>
      <c r="R54" s="869"/>
      <c r="S54" s="2855"/>
      <c r="T54" s="2858"/>
      <c r="U54" s="812"/>
      <c r="V54" s="1905"/>
      <c r="W54" s="1906" t="str">
        <f>X51&amp;"-"&amp;Z51</f>
        <v>-</v>
      </c>
      <c r="X54" s="1905"/>
      <c r="Y54" s="1905"/>
      <c r="Z54" s="1905"/>
      <c r="AA54" s="1905"/>
      <c r="AB54" s="2619"/>
      <c r="AC54" s="824"/>
      <c r="AD54" s="826"/>
      <c r="AE54" s="927" t="s">
        <v>603</v>
      </c>
      <c r="AF54" s="1905"/>
      <c r="AG54" s="1905"/>
      <c r="AH54" s="1905"/>
      <c r="AI54" s="1905"/>
      <c r="AJ54" s="1905"/>
      <c r="AK54" s="1905"/>
      <c r="AL54" s="1905"/>
      <c r="AM54" s="1905"/>
      <c r="AN54" s="1905"/>
      <c r="AO54" s="1906" t="str">
        <f>AP51&amp;"-"&amp;AR51</f>
        <v>-</v>
      </c>
      <c r="AP54" s="1905"/>
      <c r="AQ54" s="1905"/>
      <c r="AR54" s="1905"/>
      <c r="AS54" s="1905"/>
      <c r="AT54" s="1861"/>
      <c r="AU54" s="2766"/>
      <c r="AW54" s="1012"/>
      <c r="AX54" s="1012" t="str">
        <f>IF(T54="","",T54)</f>
        <v/>
      </c>
      <c r="AY54" s="1012"/>
      <c r="AZ54" s="1012"/>
      <c r="BA54" s="1667">
        <v>11</v>
      </c>
    </row>
    <row customHeight="1" ht="11.549999999999999">
      <c r="A55" s="1875" t="s">
        <v>258</v>
      </c>
      <c r="B55" s="1875" t="s">
        <v>259</v>
      </c>
      <c r="C55" s="1875" t="s">
        <v>260</v>
      </c>
      <c r="D55" s="1875" t="s">
        <v>261</v>
      </c>
      <c r="E55" s="2771"/>
      <c r="F55" s="2771"/>
      <c r="G55" s="2771"/>
      <c r="H55" s="2771"/>
      <c r="I55" s="2798"/>
      <c r="J55" s="2768"/>
      <c r="K55" s="1875"/>
      <c r="L55" s="1876"/>
      <c r="P55" s="2769"/>
      <c r="Q55" s="2769"/>
      <c r="R55" s="868"/>
      <c r="S55" s="1790"/>
      <c r="T55" s="799" t="s">
        <v>604</v>
      </c>
      <c r="U55" s="879"/>
      <c r="V55" s="879"/>
      <c r="W55" s="879"/>
      <c r="X55" s="879"/>
      <c r="Y55" s="879"/>
      <c r="Z55" s="879"/>
      <c r="AA55" s="836"/>
      <c r="AB55" s="2017"/>
      <c r="AC55" s="879"/>
      <c r="AD55" s="879"/>
      <c r="AE55" s="879"/>
      <c r="AF55" s="879"/>
      <c r="AG55" s="879"/>
      <c r="AH55" s="879"/>
      <c r="AI55" s="879"/>
      <c r="AJ55" s="879"/>
      <c r="AK55" s="879"/>
      <c r="AL55" s="879"/>
      <c r="AM55" s="879"/>
      <c r="AN55" s="879"/>
      <c r="AO55" s="879"/>
      <c r="AP55" s="879"/>
      <c r="AQ55" s="879"/>
      <c r="AR55" s="879"/>
      <c r="AS55" s="879"/>
      <c r="AT55" s="836"/>
      <c r="AU55" s="2767"/>
      <c r="AW55" s="1012"/>
      <c r="AX55" s="1012" t="str">
        <f>IF(T55="","",T55)</f>
        <v>Добавить строку</v>
      </c>
      <c r="AY55" s="1012"/>
      <c r="AZ55" s="1012"/>
      <c r="BA55" s="1667">
        <v>11</v>
      </c>
    </row>
    <row s="50882" customFormat="1" customHeight="1" ht="1.05">
      <c r="A56" s="1855" t="s">
        <v>258</v>
      </c>
      <c r="B56" s="1855" t="s">
        <v>259</v>
      </c>
      <c r="C56" s="1855" t="s">
        <v>260</v>
      </c>
      <c r="D56" s="1855" t="s">
        <v>261</v>
      </c>
      <c r="E56" s="2771"/>
      <c r="F56" s="2771"/>
      <c r="G56" s="2771"/>
      <c r="H56" s="2771"/>
      <c r="I56" s="2768"/>
      <c r="J56" s="1855"/>
      <c r="K56" s="1855"/>
      <c r="L56" s="1858"/>
      <c r="M56" s="1022"/>
      <c r="N56" s="1022"/>
      <c r="O56" s="1022"/>
      <c r="P56" s="2769"/>
      <c r="Q56" s="1843"/>
      <c r="R56" s="868"/>
      <c r="S56" s="1898"/>
      <c r="T56" s="1899" t="s">
        <v>551</v>
      </c>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c r="AS56" s="1900"/>
      <c r="AT56" s="1900"/>
      <c r="AU56" s="1901"/>
      <c r="AW56" s="1012"/>
      <c r="AX56" s="1012" t="str">
        <f>IF(T56="","",T56)</f>
        <v>Добавить группу потребителей</v>
      </c>
      <c r="AY56" s="1012"/>
      <c r="AZ56" s="1012"/>
      <c r="BA56" s="1023">
        <v>1</v>
      </c>
    </row>
    <row s="51564" customFormat="1" customHeight="1" ht="1.05">
      <c r="A57" s="1855" t="s">
        <v>258</v>
      </c>
      <c r="B57" s="1855" t="s">
        <v>259</v>
      </c>
      <c r="C57" s="1855" t="s">
        <v>260</v>
      </c>
      <c r="D57" s="1855" t="s">
        <v>261</v>
      </c>
      <c r="E57" s="2771"/>
      <c r="F57" s="2771"/>
      <c r="G57" s="2771"/>
      <c r="H57" s="2770"/>
      <c r="I57" s="1855"/>
      <c r="J57" s="1855"/>
      <c r="K57" s="1855"/>
      <c r="L57" s="1858"/>
      <c r="M57" s="1827"/>
      <c r="N57" s="1827"/>
      <c r="O57" s="1030"/>
      <c r="P57" s="892"/>
      <c r="Q57" s="1856"/>
      <c r="R57" s="1912"/>
      <c r="S57" s="1898"/>
      <c r="T57" s="1899"/>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1023"/>
      <c r="AW57" s="1012"/>
      <c r="AX57" s="1012" t="str">
        <f>IF(T57="","",T57)</f>
        <v/>
      </c>
      <c r="AY57" s="1012"/>
      <c r="AZ57" s="1012"/>
      <c r="BA57" s="1008">
        <v>1</v>
      </c>
    </row>
    <row s="50882" customFormat="1" customHeight="1" ht="1.05">
      <c r="A58" s="1855" t="s">
        <v>258</v>
      </c>
      <c r="B58" s="1855" t="s">
        <v>259</v>
      </c>
      <c r="C58" s="1855" t="s">
        <v>260</v>
      </c>
      <c r="D58" s="1826"/>
      <c r="E58" s="2771"/>
      <c r="F58" s="2771"/>
      <c r="G58" s="2770"/>
      <c r="H58" s="1826"/>
      <c r="I58" s="1826"/>
      <c r="J58" s="1826"/>
      <c r="K58" s="1826"/>
      <c r="L58" s="1851"/>
      <c r="M58" s="1827"/>
      <c r="N58" s="1827"/>
      <c r="P58" s="1828"/>
      <c r="Q58" s="1829"/>
      <c r="R58" s="1828"/>
      <c r="S58" s="1834"/>
      <c r="T58" s="1837" t="s">
        <v>553</v>
      </c>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W58" s="1301"/>
      <c r="AX58" s="1301" t="str">
        <f>IF(T58="","",T58)</f>
        <v>Добавить источник для дифференциации</v>
      </c>
      <c r="AY58" s="1301"/>
      <c r="AZ58" s="1301"/>
      <c r="BA58" s="1030">
        <v>1</v>
      </c>
    </row>
    <row s="50882" customFormat="1" customHeight="1" ht="1.05">
      <c r="A59" s="1855" t="s">
        <v>258</v>
      </c>
      <c r="B59" s="1855" t="s">
        <v>259</v>
      </c>
      <c r="C59" s="1826"/>
      <c r="D59" s="1826"/>
      <c r="E59" s="2771"/>
      <c r="F59" s="2770"/>
      <c r="G59" s="1826"/>
      <c r="H59" s="1826"/>
      <c r="I59" s="1826"/>
      <c r="J59" s="1826"/>
      <c r="K59" s="1826"/>
      <c r="L59" s="1851"/>
      <c r="M59" s="1833"/>
      <c r="N59" s="1833"/>
      <c r="P59" s="1828"/>
      <c r="Q59" s="1829"/>
      <c r="R59" s="1828"/>
      <c r="S59" s="1834"/>
      <c r="T59" s="1837" t="s">
        <v>290</v>
      </c>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W59" s="1301"/>
      <c r="AX59" s="1301" t="str">
        <f>IF(T59="","",T59)</f>
        <v>Добавить централизованную систему для дифференциации</v>
      </c>
      <c r="AY59" s="1301"/>
      <c r="AZ59" s="1301"/>
      <c r="BA59" s="1030">
        <v>1</v>
      </c>
    </row>
    <row s="50882" customFormat="1" customHeight="1" ht="1.05">
      <c r="A60" s="1855" t="s">
        <v>258</v>
      </c>
      <c r="B60" s="1855"/>
      <c r="C60" s="1855"/>
      <c r="D60" s="1855"/>
      <c r="E60" s="2771"/>
      <c r="F60" s="1855"/>
      <c r="G60" s="1855"/>
      <c r="H60" s="1855"/>
      <c r="I60" s="1855"/>
      <c r="J60" s="1855"/>
      <c r="K60" s="1855"/>
      <c r="L60" s="1858"/>
      <c r="M60" s="1833"/>
      <c r="N60" s="1833"/>
      <c r="O60" s="1030"/>
      <c r="P60" s="892"/>
      <c r="Q60" s="1856"/>
      <c r="R60" s="892"/>
      <c r="S60" s="1834"/>
      <c r="T60" s="1837" t="s">
        <v>365</v>
      </c>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W60" s="1012"/>
      <c r="AX60" s="1012" t="str">
        <f>IF(T60="","",T60)</f>
        <v>Добавить территорию для дифференциации</v>
      </c>
      <c r="AY60" s="1012"/>
      <c r="AZ60" s="1012"/>
      <c r="BA60" s="1023">
        <v>1</v>
      </c>
    </row>
    <row s="50882" customFormat="1" customHeight="1" ht="1.05">
      <c r="A61" s="1855" t="s">
        <v>258</v>
      </c>
      <c r="B61" s="1855"/>
      <c r="C61" s="1855"/>
      <c r="D61" s="1855"/>
      <c r="E61" s="2770"/>
      <c r="F61" s="1855"/>
      <c r="G61" s="1855"/>
      <c r="H61" s="1855"/>
      <c r="I61" s="1855"/>
      <c r="J61" s="1855"/>
      <c r="K61" s="1855"/>
      <c r="L61" s="1858"/>
      <c r="M61" s="1833"/>
      <c r="N61" s="1833"/>
      <c r="O61" s="1030"/>
      <c r="P61" s="892"/>
      <c r="Q61" s="1856"/>
      <c r="R61" s="892"/>
      <c r="S61" s="1834"/>
      <c r="T61" s="1837" t="s">
        <v>365</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W61" s="1012"/>
      <c r="AX61" s="1012" t="str">
        <f>IF(T61="","",T61)</f>
        <v>Добавить территорию для дифференциации</v>
      </c>
      <c r="AY61" s="1012"/>
      <c r="AZ61" s="1012"/>
      <c r="BA61" s="1023">
        <v>1</v>
      </c>
    </row>
    <row s="50882" customFormat="1" customHeight="1" ht="1.05">
      <c r="A62" s="1826"/>
      <c r="B62" s="1826"/>
      <c r="C62" s="1826"/>
      <c r="D62" s="1826"/>
      <c r="E62" s="1855"/>
      <c r="F62" s="1826"/>
      <c r="G62" s="1826"/>
      <c r="H62" s="1826"/>
      <c r="I62" s="1826"/>
      <c r="J62" s="1826"/>
      <c r="K62" s="1826"/>
      <c r="L62" s="1851"/>
      <c r="M62" s="1833"/>
      <c r="N62" s="1833"/>
      <c r="P62" s="1828"/>
      <c r="Q62" s="1829"/>
      <c r="R62" s="1828"/>
      <c r="S62" s="1834"/>
      <c r="T62" s="1837" t="s">
        <v>366</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W62" s="1301"/>
      <c r="AX62" s="1301" t="str">
        <f>IF(T62="","",T62)</f>
        <v>Добавить наименование тарифа</v>
      </c>
      <c r="AY62" s="1301"/>
      <c r="AZ62" s="1301"/>
      <c r="BA62" s="1030">
        <v>1</v>
      </c>
    </row>
    <row customHeight="1" ht="11.549999999999999">
      <c r="M63" s="1672"/>
      <c r="N63" s="1672"/>
      <c r="O63" s="1049"/>
      <c r="P63" s="1672"/>
      <c r="Q63" s="1672"/>
      <c r="R63" s="1667"/>
      <c r="S63" s="1667"/>
      <c r="AV63" s="1667"/>
      <c r="AW63" s="1667"/>
      <c r="AX63" s="1667"/>
      <c r="AY63" s="1667"/>
      <c r="AZ63" s="1667"/>
      <c r="BA63" s="1667">
        <v>11</v>
      </c>
    </row>
    <row customHeight="1" ht="19.9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N64" s="2797"/>
      <c r="AO64" s="2797"/>
      <c r="AP64" s="2797"/>
      <c r="AQ64" s="2797"/>
      <c r="AR64" s="2797"/>
      <c r="AS64" s="2797"/>
      <c r="AT64" s="2797"/>
      <c r="AU64" s="2797"/>
      <c r="BA64" s="1667">
        <v>19</v>
      </c>
    </row>
    <row customHeight="1" ht="21">
      <c r="O65" s="1049"/>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BA65" s="1667">
        <v>20</v>
      </c>
    </row>
    <row customHeight="1" ht="14.699999999999998">
      <c r="O66" s="1049"/>
      <c r="T66" s="1845"/>
      <c r="U66" s="1845"/>
      <c r="V66" s="1845"/>
      <c r="W66" s="1845"/>
      <c r="X66" s="1845"/>
      <c r="Y66" s="1845"/>
      <c r="Z66" s="1845"/>
      <c r="AA66" s="1845"/>
      <c r="AB66" s="1845"/>
      <c r="AC66" s="1845"/>
      <c r="AD66" s="1845"/>
      <c r="AE66" s="1845"/>
      <c r="AF66" s="1845"/>
      <c r="AG66" s="1845"/>
      <c r="AH66" s="1845"/>
      <c r="AI66" s="1845"/>
      <c r="AJ66" s="1845"/>
      <c r="AK66" s="1845"/>
      <c r="AL66" s="1845"/>
      <c r="AM66" s="1845"/>
      <c r="AN66" s="1845"/>
      <c r="AO66" s="1845"/>
      <c r="AP66" s="1845"/>
      <c r="AQ66" s="1845"/>
      <c r="AR66" s="1845"/>
      <c r="AS66" s="1845"/>
      <c r="AT66" s="1845"/>
      <c r="AU66" s="1845"/>
      <c r="BA66" s="1667">
        <v>14</v>
      </c>
    </row>
    <row customHeight="1" ht="19.95">
      <c r="O67" s="1049"/>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BA67" s="1667">
        <v>19</v>
      </c>
    </row>
    <row customHeight="1" ht="16.8">
      <c r="O68" s="1049"/>
      <c r="T68" s="2797"/>
      <c r="U68" s="2797"/>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R68" s="2797"/>
      <c r="AS68" s="2797"/>
      <c r="AT68" s="2797"/>
      <c r="AU68" s="2797"/>
      <c r="BA68" s="1667">
        <v>16</v>
      </c>
    </row>
    <row customHeight="1" ht="14.699999999999998">
      <c r="O69" s="1049"/>
      <c r="BA69" s="1667">
        <v>14</v>
      </c>
    </row>
    <row customHeight="1" ht="22.5" hidden="1">
      <c r="A70" s="1672" t="s">
        <v>84</v>
      </c>
      <c r="B70" s="1672">
        <v>0</v>
      </c>
      <c r="C70" s="1672">
        <v>0</v>
      </c>
      <c r="D70" s="1672">
        <v>0</v>
      </c>
      <c r="E70" s="1672">
        <v>0</v>
      </c>
      <c r="F70" s="1672">
        <v>0</v>
      </c>
      <c r="G70" s="1672">
        <v>0</v>
      </c>
      <c r="H70" s="1672">
        <v>0</v>
      </c>
      <c r="I70" s="1672">
        <v>0</v>
      </c>
      <c r="J70" s="1672">
        <v>0</v>
      </c>
      <c r="K70" s="1672">
        <v>0</v>
      </c>
      <c r="L70" s="1841">
        <v>0</v>
      </c>
      <c r="M70" s="1874">
        <v>0</v>
      </c>
      <c r="N70" s="1874">
        <v>0</v>
      </c>
      <c r="O70" s="1874">
        <v>0</v>
      </c>
      <c r="P70" s="1874">
        <v>3</v>
      </c>
      <c r="Q70" s="1883">
        <v>3</v>
      </c>
      <c r="R70" s="856">
        <v>3</v>
      </c>
      <c r="S70" s="1093">
        <v>12</v>
      </c>
      <c r="T70" s="1667">
        <v>31</v>
      </c>
      <c r="U70" s="1667">
        <v>0</v>
      </c>
      <c r="V70" s="1667">
        <v>0</v>
      </c>
      <c r="W70" s="1667">
        <v>0</v>
      </c>
      <c r="X70" s="1667">
        <v>0</v>
      </c>
      <c r="Y70" s="1667">
        <v>0</v>
      </c>
      <c r="Z70" s="1667">
        <v>0</v>
      </c>
      <c r="AA70" s="1667">
        <v>0</v>
      </c>
      <c r="AB70" s="1667">
        <v>5</v>
      </c>
      <c r="AC70" s="1667">
        <v>3</v>
      </c>
      <c r="AD70" s="1667">
        <v>3</v>
      </c>
      <c r="AE70" s="1667">
        <v>24</v>
      </c>
      <c r="AF70" s="1667">
        <v>3</v>
      </c>
      <c r="AG70" s="1667">
        <v>3</v>
      </c>
      <c r="AH70" s="1667">
        <v>3</v>
      </c>
      <c r="AI70" s="1667">
        <v>24</v>
      </c>
      <c r="AJ70" s="1667">
        <v>3</v>
      </c>
      <c r="AK70" s="1667">
        <v>3</v>
      </c>
      <c r="AL70" s="1667">
        <v>3</v>
      </c>
      <c r="AM70" s="1667">
        <v>18</v>
      </c>
      <c r="AN70" s="1667">
        <v>21</v>
      </c>
      <c r="AO70" s="1667">
        <v>21</v>
      </c>
      <c r="AP70" s="1667">
        <v>11</v>
      </c>
      <c r="AQ70" s="1667">
        <v>3</v>
      </c>
      <c r="AR70" s="1667">
        <v>11</v>
      </c>
      <c r="AS70" s="1667">
        <v>8</v>
      </c>
      <c r="AT70" s="1667">
        <v>4</v>
      </c>
      <c r="AU70" s="1667">
        <v>115</v>
      </c>
      <c r="AV70" s="1023">
        <v>10</v>
      </c>
      <c r="AW70" s="1023">
        <v>10</v>
      </c>
      <c r="AX70" s="1023">
        <v>10</v>
      </c>
      <c r="AY70" s="1023">
        <v>10</v>
      </c>
      <c r="AZ70" s="1023">
        <v>10</v>
      </c>
      <c r="BA70" s="166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5D580A-D127-EDF7-DA5F-0F3370C2C613}" mc:Ignorable="x14ac xr xr2 xr3">
  <sheetPr>
    <tabColor theme="6" tint="0.4"/>
  </sheetPr>
  <dimension ref="A1:DB330"/>
  <sheetViews>
    <sheetView topLeftCell="A1" showGridLines="0" zoomScale="90" workbookViewId="0">
      <selection activeCell="CP318" sqref="CP318"/>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7.57421875" customWidth="1"/>
    <col min="33" max="33" style="50801" width="3.7109375" customWidth="1"/>
    <col min="34" max="34" style="50801" width="17.57421875" customWidth="1"/>
    <col min="35" max="35" style="50801" width="8.57421875" customWidth="1"/>
    <col min="91" max="91" style="59469" width="10.57421875"/>
    <col min="98" max="98" style="59470" width="10.57421875" hidden="1"/>
    <col min="99" max="99" style="50801" width="4.00390625" customWidth="1"/>
    <col min="100" max="100" style="50801" width="115.00390625" customWidth="1"/>
    <col min="101" max="105" style="50882" width="10.00390625" customWidth="1"/>
    <col min="106" max="106" style="50801" width="10.57421875" hidden="1"/>
  </cols>
  <sheetData>
    <row customHeight="1" ht="22.5" hidden="1">
      <c r="X1" s="839"/>
      <c r="Y1" s="839"/>
      <c r="AE1" s="839"/>
      <c r="AF1" s="839"/>
      <c r="AJ1" s="7684"/>
      <c r="AK1" s="7684"/>
      <c r="AL1" s="7684"/>
      <c r="AM1" s="7684"/>
      <c r="AN1" s="7684"/>
      <c r="AO1" s="7684"/>
      <c r="AP1" s="7684"/>
      <c r="AQ1" s="7684"/>
      <c r="AR1" s="7684"/>
      <c r="AS1" s="7684"/>
      <c r="AT1" s="7684"/>
      <c r="AU1" s="7684"/>
      <c r="AV1" s="7684"/>
      <c r="AW1" s="7684"/>
      <c r="AX1" s="7684"/>
      <c r="AY1" s="7684"/>
      <c r="AZ1" s="7684"/>
      <c r="BA1" s="7684"/>
      <c r="BB1" s="7684"/>
      <c r="BC1" s="7684"/>
      <c r="BD1" s="7684"/>
      <c r="BE1" s="7684"/>
      <c r="BF1" s="7684"/>
      <c r="BG1" s="7684"/>
      <c r="BH1" s="7684"/>
      <c r="BI1" s="7684"/>
      <c r="BJ1" s="7684"/>
      <c r="BK1" s="7684"/>
      <c r="BL1" s="7684"/>
      <c r="BM1" s="7684"/>
      <c r="BN1" s="7684"/>
      <c r="BO1" s="7684"/>
      <c r="BP1" s="7684"/>
      <c r="BQ1" s="7684"/>
      <c r="BR1" s="7684"/>
      <c r="BS1" s="7684"/>
      <c r="BT1" s="7684"/>
      <c r="BU1" s="7684"/>
      <c r="BV1" s="7684"/>
      <c r="BW1" s="7684"/>
      <c r="BX1" s="7684"/>
      <c r="BY1" s="7684"/>
      <c r="BZ1" s="7684"/>
      <c r="CA1" s="7684"/>
      <c r="CB1" s="7684"/>
      <c r="CC1" s="7684"/>
      <c r="CD1" s="7684"/>
      <c r="CE1" s="7684"/>
      <c r="CF1" s="7684"/>
      <c r="CG1" s="7684"/>
      <c r="CH1" s="7684"/>
      <c r="CI1" s="7684"/>
      <c r="CJ1" s="7684"/>
      <c r="CK1" s="7684"/>
      <c r="CL1" s="7684"/>
      <c r="CM1" s="7684"/>
      <c r="CN1" s="21020"/>
      <c r="CO1" s="21020"/>
      <c r="CP1" s="21020"/>
      <c r="CQ1" s="21020"/>
      <c r="CR1" s="21020"/>
      <c r="CS1" s="21020"/>
      <c r="CT1" s="21020"/>
      <c r="DB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37">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7686"/>
      <c r="AK2" s="7687"/>
      <c r="AL2" s="7687"/>
      <c r="AM2" s="7687"/>
      <c r="AN2" s="7687"/>
      <c r="AO2" s="7687"/>
      <c r="AP2" s="7688"/>
      <c r="AQ2" s="7686"/>
      <c r="AR2" s="7687"/>
      <c r="AS2" s="7687"/>
      <c r="AT2" s="7687"/>
      <c r="AU2" s="7687"/>
      <c r="AV2" s="7687"/>
      <c r="AW2" s="7688"/>
      <c r="AX2" s="7686"/>
      <c r="AY2" s="7687"/>
      <c r="AZ2" s="7687"/>
      <c r="BA2" s="7687"/>
      <c r="BB2" s="7687"/>
      <c r="BC2" s="7687"/>
      <c r="BD2" s="7688"/>
      <c r="BE2" s="7686"/>
      <c r="BF2" s="7687"/>
      <c r="BG2" s="7687"/>
      <c r="BH2" s="7687"/>
      <c r="BI2" s="7687"/>
      <c r="BJ2" s="7687"/>
      <c r="BK2" s="7688"/>
      <c r="BL2" s="7686"/>
      <c r="BM2" s="7687"/>
      <c r="BN2" s="7687"/>
      <c r="BO2" s="7687"/>
      <c r="BP2" s="7687"/>
      <c r="BQ2" s="7687"/>
      <c r="BR2" s="7688"/>
      <c r="BS2" s="7686"/>
      <c r="BT2" s="7687"/>
      <c r="BU2" s="7687"/>
      <c r="BV2" s="7687"/>
      <c r="BW2" s="7687"/>
      <c r="BX2" s="7687"/>
      <c r="BY2" s="7688"/>
      <c r="BZ2" s="7686"/>
      <c r="CA2" s="7687"/>
      <c r="CB2" s="7687"/>
      <c r="CC2" s="7687"/>
      <c r="CD2" s="7687"/>
      <c r="CE2" s="7687"/>
      <c r="CF2" s="7688"/>
      <c r="CG2" s="7686"/>
      <c r="CH2" s="7687"/>
      <c r="CI2" s="7687"/>
      <c r="CJ2" s="7687"/>
      <c r="CK2" s="7687"/>
      <c r="CL2" s="7687"/>
      <c r="CM2" s="7688"/>
      <c r="CN2" s="21025"/>
      <c r="CO2" s="21026"/>
      <c r="CP2" s="21026"/>
      <c r="CQ2" s="21026"/>
      <c r="CR2" s="21026"/>
      <c r="CS2" s="21026"/>
      <c r="CT2" s="21027"/>
      <c r="CU2" s="2756"/>
      <c r="CV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1012"/>
      <c r="CY2" s="1012" t="str">
        <f>IF(T2="","",T2)</f>
        <v>Наименование тарифа</v>
      </c>
      <c r="CZ2" s="1012"/>
      <c r="DA2" s="1012"/>
      <c r="DB2" s="1667">
        <v>0</v>
      </c>
    </row>
    <row customHeight="1" ht="23.25" hidden="1">
      <c r="A3" s="1875"/>
      <c r="B3" s="1875"/>
      <c r="C3" s="1875"/>
      <c r="D3" s="1875"/>
      <c r="E3" s="2771"/>
      <c r="F3" s="2770">
        <v>1</v>
      </c>
      <c r="G3" s="1875"/>
      <c r="H3" s="1875"/>
      <c r="I3" s="1875"/>
      <c r="J3" s="1875"/>
      <c r="K3" s="1875"/>
      <c r="L3" s="1876"/>
      <c r="M3" s="1877"/>
      <c r="N3" s="1877"/>
      <c r="O3" s="1877"/>
      <c r="P3" s="1935"/>
      <c r="Q3" s="864"/>
      <c r="R3" s="865"/>
      <c r="S3" s="1937">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7686"/>
      <c r="AK3" s="7687"/>
      <c r="AL3" s="7687"/>
      <c r="AM3" s="7687"/>
      <c r="AN3" s="7687"/>
      <c r="AO3" s="7687"/>
      <c r="AP3" s="7688"/>
      <c r="AQ3" s="7686"/>
      <c r="AR3" s="7687"/>
      <c r="AS3" s="7687"/>
      <c r="AT3" s="7687"/>
      <c r="AU3" s="7687"/>
      <c r="AV3" s="7687"/>
      <c r="AW3" s="7688"/>
      <c r="AX3" s="7686"/>
      <c r="AY3" s="7687"/>
      <c r="AZ3" s="7687"/>
      <c r="BA3" s="7687"/>
      <c r="BB3" s="7687"/>
      <c r="BC3" s="7687"/>
      <c r="BD3" s="7688"/>
      <c r="BE3" s="7686"/>
      <c r="BF3" s="7687"/>
      <c r="BG3" s="7687"/>
      <c r="BH3" s="7687"/>
      <c r="BI3" s="7687"/>
      <c r="BJ3" s="7687"/>
      <c r="BK3" s="7688"/>
      <c r="BL3" s="7686"/>
      <c r="BM3" s="7687"/>
      <c r="BN3" s="7687"/>
      <c r="BO3" s="7687"/>
      <c r="BP3" s="7687"/>
      <c r="BQ3" s="7687"/>
      <c r="BR3" s="7688"/>
      <c r="BS3" s="7686"/>
      <c r="BT3" s="7687"/>
      <c r="BU3" s="7687"/>
      <c r="BV3" s="7687"/>
      <c r="BW3" s="7687"/>
      <c r="BX3" s="7687"/>
      <c r="BY3" s="7688"/>
      <c r="BZ3" s="7686"/>
      <c r="CA3" s="7687"/>
      <c r="CB3" s="7687"/>
      <c r="CC3" s="7687"/>
      <c r="CD3" s="7687"/>
      <c r="CE3" s="7687"/>
      <c r="CF3" s="7688"/>
      <c r="CG3" s="7686"/>
      <c r="CH3" s="7687"/>
      <c r="CI3" s="7687"/>
      <c r="CJ3" s="7687"/>
      <c r="CK3" s="7687"/>
      <c r="CL3" s="7687"/>
      <c r="CM3" s="7688"/>
      <c r="CN3" s="21025"/>
      <c r="CO3" s="21026"/>
      <c r="CP3" s="21026"/>
      <c r="CQ3" s="21026"/>
      <c r="CR3" s="21026"/>
      <c r="CS3" s="21026"/>
      <c r="CT3" s="21027"/>
      <c r="CU3" s="2756"/>
      <c r="CV3" s="1770" t="s">
        <v>537</v>
      </c>
      <c r="CX3" s="1012"/>
      <c r="CY3" s="1012" t="str">
        <f>IF(T3="","",T3)</f>
        <v>Территория действия тарифа</v>
      </c>
      <c r="CZ3" s="1012"/>
      <c r="DA3" s="1012"/>
      <c r="DB3" s="1667">
        <v>0</v>
      </c>
    </row>
    <row customHeight="1" ht="23.25" hidden="1">
      <c r="A4" s="1875"/>
      <c r="B4" s="1875"/>
      <c r="C4" s="1875"/>
      <c r="D4" s="1875"/>
      <c r="E4" s="2771"/>
      <c r="F4" s="2771"/>
      <c r="G4" s="2770">
        <v>1</v>
      </c>
      <c r="H4" s="1875"/>
      <c r="I4" s="1875"/>
      <c r="J4" s="1875"/>
      <c r="K4" s="1875"/>
      <c r="L4" s="1876"/>
      <c r="M4" s="1877"/>
      <c r="N4" s="1877"/>
      <c r="O4" s="1877"/>
      <c r="P4" s="866"/>
      <c r="Q4" s="864"/>
      <c r="R4" s="865"/>
      <c r="S4" s="1937">
        <f>INDEX(PT_DIFFERENTIATION_NUM_CS,MATCH(C4,PT_DIFFERENTIATION_CS_ID,0))</f>
      </c>
      <c r="T4" s="821" t="s">
        <v>617</v>
      </c>
      <c r="U4" s="812"/>
      <c r="V4" s="2754"/>
      <c r="W4" s="2755"/>
      <c r="X4" s="2755"/>
      <c r="Y4" s="2755"/>
      <c r="Z4" s="2755"/>
      <c r="AA4" s="2755"/>
      <c r="AB4" s="2756"/>
      <c r="AC4" s="2754">
        <f>INDEX(PT_DIFFERENTIATION_CS,MATCH(C4,PT_DIFFERENTIATION_CS_ID,0))</f>
      </c>
      <c r="AD4" s="2755"/>
      <c r="AE4" s="2755"/>
      <c r="AF4" s="2755"/>
      <c r="AG4" s="2755"/>
      <c r="AH4" s="2755"/>
      <c r="AI4" s="2755"/>
      <c r="AJ4" s="7686"/>
      <c r="AK4" s="7687"/>
      <c r="AL4" s="7687"/>
      <c r="AM4" s="7687"/>
      <c r="AN4" s="7687"/>
      <c r="AO4" s="7687"/>
      <c r="AP4" s="7688"/>
      <c r="AQ4" s="7686"/>
      <c r="AR4" s="7687"/>
      <c r="AS4" s="7687"/>
      <c r="AT4" s="7687"/>
      <c r="AU4" s="7687"/>
      <c r="AV4" s="7687"/>
      <c r="AW4" s="7688"/>
      <c r="AX4" s="7686"/>
      <c r="AY4" s="7687"/>
      <c r="AZ4" s="7687"/>
      <c r="BA4" s="7687"/>
      <c r="BB4" s="7687"/>
      <c r="BC4" s="7687"/>
      <c r="BD4" s="7688"/>
      <c r="BE4" s="7686"/>
      <c r="BF4" s="7687"/>
      <c r="BG4" s="7687"/>
      <c r="BH4" s="7687"/>
      <c r="BI4" s="7687"/>
      <c r="BJ4" s="7687"/>
      <c r="BK4" s="7688"/>
      <c r="BL4" s="7686"/>
      <c r="BM4" s="7687"/>
      <c r="BN4" s="7687"/>
      <c r="BO4" s="7687"/>
      <c r="BP4" s="7687"/>
      <c r="BQ4" s="7687"/>
      <c r="BR4" s="7688"/>
      <c r="BS4" s="7686"/>
      <c r="BT4" s="7687"/>
      <c r="BU4" s="7687"/>
      <c r="BV4" s="7687"/>
      <c r="BW4" s="7687"/>
      <c r="BX4" s="7687"/>
      <c r="BY4" s="7688"/>
      <c r="BZ4" s="7686"/>
      <c r="CA4" s="7687"/>
      <c r="CB4" s="7687"/>
      <c r="CC4" s="7687"/>
      <c r="CD4" s="7687"/>
      <c r="CE4" s="7687"/>
      <c r="CF4" s="7688"/>
      <c r="CG4" s="7686"/>
      <c r="CH4" s="7687"/>
      <c r="CI4" s="7687"/>
      <c r="CJ4" s="7687"/>
      <c r="CK4" s="7687"/>
      <c r="CL4" s="7687"/>
      <c r="CM4" s="7688"/>
      <c r="CN4" s="21025"/>
      <c r="CO4" s="21026"/>
      <c r="CP4" s="21026"/>
      <c r="CQ4" s="21026"/>
      <c r="CR4" s="21026"/>
      <c r="CS4" s="21026"/>
      <c r="CT4" s="21027"/>
      <c r="CU4" s="2756"/>
      <c r="CV4" s="1770" t="s">
        <v>618</v>
      </c>
      <c r="CX4" s="1012"/>
      <c r="CY4" s="1012" t="str">
        <f>IF(T4="","",T4)</f>
        <v>Наименование централизованной системы холодного водоснабжения</v>
      </c>
      <c r="CZ4" s="1012"/>
      <c r="DA4" s="1012"/>
      <c r="DB4" s="1667">
        <v>0</v>
      </c>
    </row>
    <row customHeight="1" ht="23.25" hidden="1">
      <c r="A5" s="1875"/>
      <c r="B5" s="1875"/>
      <c r="C5" s="1875"/>
      <c r="D5" s="1875"/>
      <c r="E5" s="2771"/>
      <c r="F5" s="2771"/>
      <c r="G5" s="2771"/>
      <c r="H5" s="2771"/>
      <c r="I5" s="2768">
        <f>S4&amp;".1"</f>
      </c>
      <c r="J5" s="1875"/>
      <c r="K5" s="1875"/>
      <c r="L5" s="1876"/>
      <c r="P5" s="2769">
        <v>1</v>
      </c>
      <c r="Q5" s="1934"/>
      <c r="R5" s="868"/>
      <c r="S5" s="1937">
        <f>$I5</f>
      </c>
      <c r="T5" s="797" t="s">
        <v>619</v>
      </c>
      <c r="U5" s="812"/>
      <c r="V5" s="2862"/>
      <c r="W5" s="2863"/>
      <c r="X5" s="2863"/>
      <c r="Y5" s="2863"/>
      <c r="Z5" s="2863"/>
      <c r="AA5" s="2863"/>
      <c r="AB5" s="2864"/>
      <c r="AC5" s="2865"/>
      <c r="AD5" s="2866"/>
      <c r="AE5" s="2866"/>
      <c r="AF5" s="2866"/>
      <c r="AG5" s="2866"/>
      <c r="AH5" s="2866"/>
      <c r="AI5" s="2866"/>
      <c r="AJ5" s="7696"/>
      <c r="AK5" s="7697"/>
      <c r="AL5" s="7697"/>
      <c r="AM5" s="7697"/>
      <c r="AN5" s="7697"/>
      <c r="AO5" s="7697"/>
      <c r="AP5" s="7698"/>
      <c r="AQ5" s="7696"/>
      <c r="AR5" s="7697"/>
      <c r="AS5" s="7697"/>
      <c r="AT5" s="7697"/>
      <c r="AU5" s="7697"/>
      <c r="AV5" s="7697"/>
      <c r="AW5" s="7698"/>
      <c r="AX5" s="7696"/>
      <c r="AY5" s="7697"/>
      <c r="AZ5" s="7697"/>
      <c r="BA5" s="7697"/>
      <c r="BB5" s="7697"/>
      <c r="BC5" s="7697"/>
      <c r="BD5" s="7698"/>
      <c r="BE5" s="7696"/>
      <c r="BF5" s="7697"/>
      <c r="BG5" s="7697"/>
      <c r="BH5" s="7697"/>
      <c r="BI5" s="7697"/>
      <c r="BJ5" s="7697"/>
      <c r="BK5" s="7698"/>
      <c r="BL5" s="7696"/>
      <c r="BM5" s="7697"/>
      <c r="BN5" s="7697"/>
      <c r="BO5" s="7697"/>
      <c r="BP5" s="7697"/>
      <c r="BQ5" s="7697"/>
      <c r="BR5" s="7698"/>
      <c r="BS5" s="7696"/>
      <c r="BT5" s="7697"/>
      <c r="BU5" s="7697"/>
      <c r="BV5" s="7697"/>
      <c r="BW5" s="7697"/>
      <c r="BX5" s="7697"/>
      <c r="BY5" s="7698"/>
      <c r="BZ5" s="7696"/>
      <c r="CA5" s="7697"/>
      <c r="CB5" s="7697"/>
      <c r="CC5" s="7697"/>
      <c r="CD5" s="7697"/>
      <c r="CE5" s="7697"/>
      <c r="CF5" s="7698"/>
      <c r="CG5" s="7696"/>
      <c r="CH5" s="7697"/>
      <c r="CI5" s="7697"/>
      <c r="CJ5" s="7697"/>
      <c r="CK5" s="7697"/>
      <c r="CL5" s="7697"/>
      <c r="CM5" s="7698"/>
      <c r="CN5" s="21038"/>
      <c r="CO5" s="21039"/>
      <c r="CP5" s="21039"/>
      <c r="CQ5" s="21039"/>
      <c r="CR5" s="21039"/>
      <c r="CS5" s="21039"/>
      <c r="CT5" s="21040"/>
      <c r="CU5" s="2867"/>
      <c r="CV5" s="1770" t="s">
        <v>620</v>
      </c>
      <c r="CX5" s="1012"/>
      <c r="CY5" s="1012" t="str">
        <f>IF(T5="","",T5)</f>
        <v>Наименование признака дифференциации</v>
      </c>
      <c r="CZ5" s="1012"/>
      <c r="DA5" s="1012"/>
      <c r="DB5" s="1667">
        <v>0</v>
      </c>
    </row>
    <row customHeight="1" ht="23.25" hidden="1">
      <c r="A6" s="1875"/>
      <c r="B6" s="1875"/>
      <c r="C6" s="1875"/>
      <c r="D6" s="1875"/>
      <c r="E6" s="2771"/>
      <c r="F6" s="2771"/>
      <c r="G6" s="2771"/>
      <c r="H6" s="2771"/>
      <c r="I6" s="2798"/>
      <c r="J6" s="2768">
        <f>I5&amp;".1"</f>
      </c>
      <c r="K6" s="1875"/>
      <c r="L6" s="1876" t="s">
        <v>545</v>
      </c>
      <c r="P6" s="2769"/>
      <c r="Q6" s="2769">
        <v>1</v>
      </c>
      <c r="R6" s="869"/>
      <c r="S6" s="1937">
        <f>$J6</f>
      </c>
      <c r="T6" s="798" t="s">
        <v>546</v>
      </c>
      <c r="U6" s="812"/>
      <c r="V6" s="2757"/>
      <c r="W6" s="2758"/>
      <c r="X6" s="2758"/>
      <c r="Y6" s="2758"/>
      <c r="Z6" s="2758"/>
      <c r="AA6" s="2758"/>
      <c r="AB6" s="2759"/>
      <c r="AC6" s="2757"/>
      <c r="AD6" s="2758"/>
      <c r="AE6" s="2758"/>
      <c r="AF6" s="2758"/>
      <c r="AG6" s="2758"/>
      <c r="AH6" s="2758"/>
      <c r="AI6" s="2758"/>
      <c r="AJ6" s="7700"/>
      <c r="AK6" s="7701"/>
      <c r="AL6" s="7701"/>
      <c r="AM6" s="7701"/>
      <c r="AN6" s="7701"/>
      <c r="AO6" s="7701"/>
      <c r="AP6" s="7702"/>
      <c r="AQ6" s="7700"/>
      <c r="AR6" s="7701"/>
      <c r="AS6" s="7701"/>
      <c r="AT6" s="7701"/>
      <c r="AU6" s="7701"/>
      <c r="AV6" s="7701"/>
      <c r="AW6" s="7702"/>
      <c r="AX6" s="7700"/>
      <c r="AY6" s="7701"/>
      <c r="AZ6" s="7701"/>
      <c r="BA6" s="7701"/>
      <c r="BB6" s="7701"/>
      <c r="BC6" s="7701"/>
      <c r="BD6" s="7702"/>
      <c r="BE6" s="7700"/>
      <c r="BF6" s="7701"/>
      <c r="BG6" s="7701"/>
      <c r="BH6" s="7701"/>
      <c r="BI6" s="7701"/>
      <c r="BJ6" s="7701"/>
      <c r="BK6" s="7702"/>
      <c r="BL6" s="7700"/>
      <c r="BM6" s="7701"/>
      <c r="BN6" s="7701"/>
      <c r="BO6" s="7701"/>
      <c r="BP6" s="7701"/>
      <c r="BQ6" s="7701"/>
      <c r="BR6" s="7702"/>
      <c r="BS6" s="7700"/>
      <c r="BT6" s="7701"/>
      <c r="BU6" s="7701"/>
      <c r="BV6" s="7701"/>
      <c r="BW6" s="7701"/>
      <c r="BX6" s="7701"/>
      <c r="BY6" s="7702"/>
      <c r="BZ6" s="7700"/>
      <c r="CA6" s="7701"/>
      <c r="CB6" s="7701"/>
      <c r="CC6" s="7701"/>
      <c r="CD6" s="7701"/>
      <c r="CE6" s="7701"/>
      <c r="CF6" s="7702"/>
      <c r="CG6" s="7700"/>
      <c r="CH6" s="7701"/>
      <c r="CI6" s="7701"/>
      <c r="CJ6" s="7701"/>
      <c r="CK6" s="7701"/>
      <c r="CL6" s="7701"/>
      <c r="CM6" s="7702"/>
      <c r="CN6" s="21045"/>
      <c r="CO6" s="21046"/>
      <c r="CP6" s="21046"/>
      <c r="CQ6" s="21046"/>
      <c r="CR6" s="21046"/>
      <c r="CS6" s="21046"/>
      <c r="CT6" s="21047"/>
      <c r="CU6" s="2759"/>
      <c r="CV6" s="1819" t="s">
        <v>621</v>
      </c>
      <c r="CX6" s="1012"/>
      <c r="CY6" s="1012" t="str">
        <f>IF(T6="","",T6)</f>
        <v>Группа потребителей</v>
      </c>
      <c r="CZ6" s="1012"/>
      <c r="DA6" s="1012"/>
      <c r="DB6" s="1667">
        <v>0</v>
      </c>
    </row>
    <row customHeight="1" ht="23.25" hidden="1">
      <c r="A7" s="1875"/>
      <c r="B7" s="1875"/>
      <c r="C7" s="1875"/>
      <c r="D7" s="1875"/>
      <c r="E7" s="2771"/>
      <c r="F7" s="2771"/>
      <c r="G7" s="2771"/>
      <c r="H7" s="2771"/>
      <c r="I7" s="2798"/>
      <c r="J7" s="2798"/>
      <c r="K7" s="2768">
        <f>J6&amp;".1"</f>
      </c>
      <c r="L7" s="1876"/>
      <c r="P7" s="2769"/>
      <c r="Q7" s="2769"/>
      <c r="R7" s="869">
        <v>1</v>
      </c>
      <c r="S7" s="1937">
        <f>$K7</f>
      </c>
      <c r="T7" s="1949"/>
      <c r="U7" s="812"/>
      <c r="V7" s="1263"/>
      <c r="W7" s="1263"/>
      <c r="X7" s="1769"/>
      <c r="Y7" s="2777"/>
      <c r="Z7" s="2619" t="s">
        <v>63</v>
      </c>
      <c r="AA7" s="2777"/>
      <c r="AB7" s="2619" t="s">
        <v>63</v>
      </c>
      <c r="AC7" s="1263"/>
      <c r="AD7" s="1263"/>
      <c r="AE7" s="1769"/>
      <c r="AF7" s="2777"/>
      <c r="AG7" s="2619" t="s">
        <v>63</v>
      </c>
      <c r="AH7" s="2799"/>
      <c r="AI7" s="2619" t="s">
        <v>63</v>
      </c>
      <c r="AJ7" s="7704"/>
      <c r="AK7" s="7704"/>
      <c r="AL7" s="7705"/>
      <c r="AM7" s="7706"/>
      <c r="AN7" s="7707" t="s">
        <v>63</v>
      </c>
      <c r="AO7" s="7706"/>
      <c r="AP7" s="7707" t="s">
        <v>63</v>
      </c>
      <c r="AQ7" s="7704"/>
      <c r="AR7" s="7704"/>
      <c r="AS7" s="7705"/>
      <c r="AT7" s="7706"/>
      <c r="AU7" s="7707" t="s">
        <v>63</v>
      </c>
      <c r="AV7" s="7706"/>
      <c r="AW7" s="7707" t="s">
        <v>63</v>
      </c>
      <c r="AX7" s="7704"/>
      <c r="AY7" s="7704"/>
      <c r="AZ7" s="7705"/>
      <c r="BA7" s="7706"/>
      <c r="BB7" s="7707" t="s">
        <v>63</v>
      </c>
      <c r="BC7" s="7706"/>
      <c r="BD7" s="7707" t="s">
        <v>63</v>
      </c>
      <c r="BE7" s="7704"/>
      <c r="BF7" s="7704"/>
      <c r="BG7" s="7705"/>
      <c r="BH7" s="7706"/>
      <c r="BI7" s="7707" t="s">
        <v>63</v>
      </c>
      <c r="BJ7" s="7706"/>
      <c r="BK7" s="7707" t="s">
        <v>63</v>
      </c>
      <c r="BL7" s="7704"/>
      <c r="BM7" s="7704"/>
      <c r="BN7" s="7705"/>
      <c r="BO7" s="7706"/>
      <c r="BP7" s="7707" t="s">
        <v>63</v>
      </c>
      <c r="BQ7" s="7706"/>
      <c r="BR7" s="7707" t="s">
        <v>63</v>
      </c>
      <c r="BS7" s="7704"/>
      <c r="BT7" s="7704"/>
      <c r="BU7" s="7705"/>
      <c r="BV7" s="7706"/>
      <c r="BW7" s="7707" t="s">
        <v>63</v>
      </c>
      <c r="BX7" s="7706"/>
      <c r="BY7" s="7707" t="s">
        <v>63</v>
      </c>
      <c r="BZ7" s="7704"/>
      <c r="CA7" s="7704"/>
      <c r="CB7" s="7705"/>
      <c r="CC7" s="7706"/>
      <c r="CD7" s="7707" t="s">
        <v>63</v>
      </c>
      <c r="CE7" s="7706"/>
      <c r="CF7" s="7707" t="s">
        <v>63</v>
      </c>
      <c r="CG7" s="7704"/>
      <c r="CH7" s="7704"/>
      <c r="CI7" s="7705"/>
      <c r="CJ7" s="7706"/>
      <c r="CK7" s="7707" t="s">
        <v>63</v>
      </c>
      <c r="CL7" s="7706"/>
      <c r="CM7" s="7707" t="s">
        <v>63</v>
      </c>
      <c r="CN7" s="21053"/>
      <c r="CO7" s="21053"/>
      <c r="CP7" s="21054"/>
      <c r="CQ7" s="21055"/>
      <c r="CR7" s="21056" t="s">
        <v>63</v>
      </c>
      <c r="CS7" s="21055"/>
      <c r="CT7" s="21056" t="s">
        <v>63</v>
      </c>
      <c r="CU7" s="1950"/>
      <c r="CV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1023">
        <f>STRCHECKDATE(V8:CU8)</f>
      </c>
      <c r="CX7" s="1012"/>
      <c r="CY7" s="1012" t="str">
        <f>IF(T7="","",T7)</f>
        <v/>
      </c>
      <c r="CZ7" s="1012"/>
      <c r="DA7" s="1012"/>
      <c r="DB7" s="1667">
        <v>0</v>
      </c>
    </row>
    <row customHeight="1" ht="14.25" hidden="1">
      <c r="A8" s="1875"/>
      <c r="B8" s="1875"/>
      <c r="C8" s="1875"/>
      <c r="D8" s="1875"/>
      <c r="E8" s="2771"/>
      <c r="F8" s="2771"/>
      <c r="G8" s="2771"/>
      <c r="H8" s="2771"/>
      <c r="I8" s="2798"/>
      <c r="J8" s="2798"/>
      <c r="K8" s="2768"/>
      <c r="L8" s="1876"/>
      <c r="P8" s="2769"/>
      <c r="Q8" s="2769"/>
      <c r="R8" s="869"/>
      <c r="S8" s="1936"/>
      <c r="T8" s="812"/>
      <c r="U8" s="812"/>
      <c r="V8" s="837"/>
      <c r="W8" s="837"/>
      <c r="X8" s="840" t="str">
        <f>Y7&amp;"-"&amp;AA7</f>
        <v>-</v>
      </c>
      <c r="Y8" s="2778"/>
      <c r="Z8" s="2619"/>
      <c r="AA8" s="2778"/>
      <c r="AB8" s="2619"/>
      <c r="AC8" s="837"/>
      <c r="AD8" s="837"/>
      <c r="AE8" s="840" t="str">
        <f>AF7&amp;"-"&amp;AH7</f>
        <v>-</v>
      </c>
      <c r="AF8" s="2778"/>
      <c r="AG8" s="2619"/>
      <c r="AH8" s="2800"/>
      <c r="AI8" s="2619"/>
      <c r="AJ8" s="7711"/>
      <c r="AK8" s="7711"/>
      <c r="AL8" s="7712" t="str">
        <f>AM7&amp;"-"&amp;AO7</f>
        <v>-</v>
      </c>
      <c r="AM8" s="7713"/>
      <c r="AN8" s="7707"/>
      <c r="AO8" s="7713"/>
      <c r="AP8" s="7707"/>
      <c r="AQ8" s="7711"/>
      <c r="AR8" s="7711"/>
      <c r="AS8" s="7712" t="str">
        <f>AT7&amp;"-"&amp;AV7</f>
        <v>-</v>
      </c>
      <c r="AT8" s="7713"/>
      <c r="AU8" s="7707"/>
      <c r="AV8" s="7713"/>
      <c r="AW8" s="7707"/>
      <c r="AX8" s="7711"/>
      <c r="AY8" s="7711"/>
      <c r="AZ8" s="7712" t="str">
        <f>BA7&amp;"-"&amp;BC7</f>
        <v>-</v>
      </c>
      <c r="BA8" s="7713"/>
      <c r="BB8" s="7707"/>
      <c r="BC8" s="7713"/>
      <c r="BD8" s="7707"/>
      <c r="BE8" s="7711"/>
      <c r="BF8" s="7711"/>
      <c r="BG8" s="7712" t="str">
        <f>BH7&amp;"-"&amp;BJ7</f>
        <v>-</v>
      </c>
      <c r="BH8" s="7713"/>
      <c r="BI8" s="7707"/>
      <c r="BJ8" s="7713"/>
      <c r="BK8" s="7707"/>
      <c r="BL8" s="7711"/>
      <c r="BM8" s="7711"/>
      <c r="BN8" s="7712" t="str">
        <f>BO7&amp;"-"&amp;BQ7</f>
        <v>-</v>
      </c>
      <c r="BO8" s="7713"/>
      <c r="BP8" s="7707"/>
      <c r="BQ8" s="7713"/>
      <c r="BR8" s="7707"/>
      <c r="BS8" s="7711"/>
      <c r="BT8" s="7711"/>
      <c r="BU8" s="7712" t="str">
        <f>BV7&amp;"-"&amp;BX7</f>
        <v>-</v>
      </c>
      <c r="BV8" s="7713"/>
      <c r="BW8" s="7707"/>
      <c r="BX8" s="7713"/>
      <c r="BY8" s="7707"/>
      <c r="BZ8" s="7711"/>
      <c r="CA8" s="7711"/>
      <c r="CB8" s="7712" t="str">
        <f>CC7&amp;"-"&amp;CE7</f>
        <v>-</v>
      </c>
      <c r="CC8" s="7713"/>
      <c r="CD8" s="7707"/>
      <c r="CE8" s="7713"/>
      <c r="CF8" s="7707"/>
      <c r="CG8" s="7711"/>
      <c r="CH8" s="7711"/>
      <c r="CI8" s="7712" t="str">
        <f>CJ7&amp;"-"&amp;CL7</f>
        <v>-</v>
      </c>
      <c r="CJ8" s="7713"/>
      <c r="CK8" s="7707"/>
      <c r="CL8" s="7713"/>
      <c r="CM8" s="7707"/>
      <c r="CN8" s="21063"/>
      <c r="CO8" s="21063"/>
      <c r="CP8" s="21064" t="str">
        <f>CQ7&amp;"-"&amp;CS7</f>
        <v>-</v>
      </c>
      <c r="CQ8" s="21065"/>
      <c r="CR8" s="21056"/>
      <c r="CS8" s="21065"/>
      <c r="CT8" s="21056"/>
      <c r="CU8" s="1951"/>
      <c r="CV8" s="2861"/>
      <c r="CX8" s="1012"/>
      <c r="CY8" s="1012" t="str">
        <f>IF(T8="","",T8)</f>
        <v/>
      </c>
      <c r="CZ8" s="1012"/>
      <c r="DA8" s="1012"/>
      <c r="DB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7715"/>
      <c r="AK9" s="7716"/>
      <c r="AL9" s="7717"/>
      <c r="AM9" s="7718"/>
      <c r="AN9" s="7719"/>
      <c r="AO9" s="7720"/>
      <c r="AP9" s="7721"/>
      <c r="AQ9" s="7722"/>
      <c r="AR9" s="7723"/>
      <c r="AS9" s="7724"/>
      <c r="AT9" s="7725"/>
      <c r="AU9" s="7726"/>
      <c r="AV9" s="7727"/>
      <c r="AW9" s="7728"/>
      <c r="AX9" s="7729"/>
      <c r="AY9" s="7730"/>
      <c r="AZ9" s="7731"/>
      <c r="BA9" s="7732"/>
      <c r="BB9" s="7733"/>
      <c r="BC9" s="7734"/>
      <c r="BD9" s="7735"/>
      <c r="BE9" s="7736"/>
      <c r="BF9" s="7737"/>
      <c r="BG9" s="7738"/>
      <c r="BH9" s="7739"/>
      <c r="BI9" s="7740"/>
      <c r="BJ9" s="7741"/>
      <c r="BK9" s="7742"/>
      <c r="BL9" s="7743"/>
      <c r="BM9" s="7744"/>
      <c r="BN9" s="7745"/>
      <c r="BO9" s="7746"/>
      <c r="BP9" s="7747"/>
      <c r="BQ9" s="7748"/>
      <c r="BR9" s="7749"/>
      <c r="BS9" s="7750"/>
      <c r="BT9" s="7751"/>
      <c r="BU9" s="7752"/>
      <c r="BV9" s="7753"/>
      <c r="BW9" s="7754"/>
      <c r="BX9" s="7755"/>
      <c r="BY9" s="7756"/>
      <c r="BZ9" s="7757"/>
      <c r="CA9" s="7758"/>
      <c r="CB9" s="7759"/>
      <c r="CC9" s="7760"/>
      <c r="CD9" s="7761"/>
      <c r="CE9" s="7762"/>
      <c r="CF9" s="7763"/>
      <c r="CG9" s="7764"/>
      <c r="CH9" s="7765"/>
      <c r="CI9" s="7766"/>
      <c r="CJ9" s="7767"/>
      <c r="CK9" s="7768"/>
      <c r="CL9" s="7769"/>
      <c r="CM9" s="7770"/>
      <c r="CN9" s="21123"/>
      <c r="CO9" s="21124"/>
      <c r="CP9" s="21125"/>
      <c r="CQ9" s="21126"/>
      <c r="CR9" s="21127"/>
      <c r="CS9" s="21128"/>
      <c r="CT9" s="21129"/>
      <c r="CU9" s="879"/>
      <c r="CV9" s="1770" t="s">
        <v>623</v>
      </c>
      <c r="CX9" s="1012"/>
      <c r="CY9" s="1012" t="str">
        <f>IF(T9="","",T9)</f>
        <v>Добавить значение признака дифференциации</v>
      </c>
      <c r="CZ9" s="1012"/>
      <c r="DA9" s="1012"/>
      <c r="DB9" s="1667">
        <v>0</v>
      </c>
    </row>
    <row customHeight="1" ht="21" hidden="1">
      <c r="A10" s="1875"/>
      <c r="B10" s="1875"/>
      <c r="C10" s="1875"/>
      <c r="D10" s="1875"/>
      <c r="E10" s="2771"/>
      <c r="F10" s="2771"/>
      <c r="G10" s="2771"/>
      <c r="H10" s="2771"/>
      <c r="I10" s="2768"/>
      <c r="J10" s="1875"/>
      <c r="K10" s="1875"/>
      <c r="L10" s="1876"/>
      <c r="P10" s="2769"/>
      <c r="Q10" s="1934"/>
      <c r="R10" s="868"/>
      <c r="S10" s="1790"/>
      <c r="T10" s="877" t="s">
        <v>551</v>
      </c>
      <c r="U10" s="879"/>
      <c r="V10" s="879"/>
      <c r="W10" s="879"/>
      <c r="X10" s="879"/>
      <c r="Y10" s="879"/>
      <c r="Z10" s="879"/>
      <c r="AA10" s="879"/>
      <c r="AB10" s="878"/>
      <c r="AC10" s="879"/>
      <c r="AD10" s="879"/>
      <c r="AE10" s="879"/>
      <c r="AF10" s="879"/>
      <c r="AG10" s="879"/>
      <c r="AH10" s="879"/>
      <c r="AI10" s="878"/>
      <c r="AJ10" s="7771"/>
      <c r="AK10" s="7772"/>
      <c r="AL10" s="7773"/>
      <c r="AM10" s="7774"/>
      <c r="AN10" s="7775"/>
      <c r="AO10" s="7776"/>
      <c r="AP10" s="7777"/>
      <c r="AQ10" s="7778"/>
      <c r="AR10" s="7779"/>
      <c r="AS10" s="7780"/>
      <c r="AT10" s="7781"/>
      <c r="AU10" s="7782"/>
      <c r="AV10" s="7783"/>
      <c r="AW10" s="7784"/>
      <c r="AX10" s="7785"/>
      <c r="AY10" s="7786"/>
      <c r="AZ10" s="7787"/>
      <c r="BA10" s="7788"/>
      <c r="BB10" s="7789"/>
      <c r="BC10" s="7790"/>
      <c r="BD10" s="7791"/>
      <c r="BE10" s="7792"/>
      <c r="BF10" s="7793"/>
      <c r="BG10" s="7794"/>
      <c r="BH10" s="7795"/>
      <c r="BI10" s="7796"/>
      <c r="BJ10" s="7797"/>
      <c r="BK10" s="7798"/>
      <c r="BL10" s="7799"/>
      <c r="BM10" s="7800"/>
      <c r="BN10" s="7801"/>
      <c r="BO10" s="7802"/>
      <c r="BP10" s="7803"/>
      <c r="BQ10" s="7804"/>
      <c r="BR10" s="7805"/>
      <c r="BS10" s="7806"/>
      <c r="BT10" s="7807"/>
      <c r="BU10" s="7808"/>
      <c r="BV10" s="7809"/>
      <c r="BW10" s="7810"/>
      <c r="BX10" s="7811"/>
      <c r="BY10" s="7812"/>
      <c r="BZ10" s="7813"/>
      <c r="CA10" s="7814"/>
      <c r="CB10" s="7815"/>
      <c r="CC10" s="7816"/>
      <c r="CD10" s="7817"/>
      <c r="CE10" s="7818"/>
      <c r="CF10" s="7819"/>
      <c r="CG10" s="7820"/>
      <c r="CH10" s="7821"/>
      <c r="CI10" s="7822"/>
      <c r="CJ10" s="7823"/>
      <c r="CK10" s="7824"/>
      <c r="CL10" s="7825"/>
      <c r="CM10" s="7826"/>
      <c r="CN10" s="21186"/>
      <c r="CO10" s="21187"/>
      <c r="CP10" s="21188"/>
      <c r="CQ10" s="21189"/>
      <c r="CR10" s="21190"/>
      <c r="CS10" s="21191"/>
      <c r="CT10" s="21192"/>
      <c r="CU10" s="879"/>
      <c r="CV10" s="1952"/>
      <c r="CX10" s="1012"/>
      <c r="CY10" s="1012" t="str">
        <f>IF(T10="","",T10)</f>
        <v>Добавить группу потребителей</v>
      </c>
      <c r="CZ10" s="1012"/>
      <c r="DA10" s="1012"/>
      <c r="DB10" s="1667">
        <v>0</v>
      </c>
    </row>
    <row customHeight="1" ht="14.25"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7829"/>
      <c r="AK11" s="7830"/>
      <c r="AL11" s="7831"/>
      <c r="AM11" s="7832"/>
      <c r="AN11" s="7833"/>
      <c r="AO11" s="7834"/>
      <c r="AP11" s="7835"/>
      <c r="AQ11" s="7836"/>
      <c r="AR11" s="7837"/>
      <c r="AS11" s="7838"/>
      <c r="AT11" s="7839"/>
      <c r="AU11" s="7840"/>
      <c r="AV11" s="7841"/>
      <c r="AW11" s="7842"/>
      <c r="AX11" s="7843"/>
      <c r="AY11" s="7844"/>
      <c r="AZ11" s="7845"/>
      <c r="BA11" s="7846"/>
      <c r="BB11" s="7847"/>
      <c r="BC11" s="7848"/>
      <c r="BD11" s="7849"/>
      <c r="BE11" s="7850"/>
      <c r="BF11" s="7851"/>
      <c r="BG11" s="7852"/>
      <c r="BH11" s="7853"/>
      <c r="BI11" s="7854"/>
      <c r="BJ11" s="7855"/>
      <c r="BK11" s="7856"/>
      <c r="BL11" s="7857"/>
      <c r="BM11" s="7858"/>
      <c r="BN11" s="7859"/>
      <c r="BO11" s="7860"/>
      <c r="BP11" s="7861"/>
      <c r="BQ11" s="7862"/>
      <c r="BR11" s="7863"/>
      <c r="BS11" s="7864"/>
      <c r="BT11" s="7865"/>
      <c r="BU11" s="7866"/>
      <c r="BV11" s="7867"/>
      <c r="BW11" s="7868"/>
      <c r="BX11" s="7869"/>
      <c r="BY11" s="7870"/>
      <c r="BZ11" s="7871"/>
      <c r="CA11" s="7872"/>
      <c r="CB11" s="7873"/>
      <c r="CC11" s="7874"/>
      <c r="CD11" s="7875"/>
      <c r="CE11" s="7876"/>
      <c r="CF11" s="7877"/>
      <c r="CG11" s="7878"/>
      <c r="CH11" s="7879"/>
      <c r="CI11" s="7880"/>
      <c r="CJ11" s="7881"/>
      <c r="CK11" s="7882"/>
      <c r="CL11" s="7883"/>
      <c r="CM11" s="7884"/>
      <c r="CN11" s="21251"/>
      <c r="CO11" s="21252"/>
      <c r="CP11" s="21253"/>
      <c r="CQ11" s="21254"/>
      <c r="CR11" s="21255"/>
      <c r="CS11" s="21256"/>
      <c r="CT11" s="21257"/>
      <c r="CU11" s="879"/>
      <c r="CV11" s="815"/>
      <c r="CX11" s="1012"/>
      <c r="CY11" s="1012" t="str">
        <f>IF(T11="","",T11)</f>
        <v>Добавить наименование признака дифференциации</v>
      </c>
      <c r="CZ11" s="1012"/>
      <c r="DA11" s="1012"/>
      <c r="DB11" s="1667">
        <v>0</v>
      </c>
    </row>
    <row s="50882" customFormat="1" customHeight="1" ht="14.25" hidden="1">
      <c r="A12" s="1855"/>
      <c r="B12" s="1855"/>
      <c r="C12" s="1826"/>
      <c r="D12" s="1826"/>
      <c r="E12" s="2771"/>
      <c r="F12" s="2770"/>
      <c r="G12" s="1826"/>
      <c r="H12" s="1826"/>
      <c r="I12" s="1826"/>
      <c r="J12" s="1826"/>
      <c r="K12" s="1826"/>
      <c r="L12" s="1938"/>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7886"/>
      <c r="AK12" s="7886"/>
      <c r="AL12" s="7886"/>
      <c r="AM12" s="7886"/>
      <c r="AN12" s="7886"/>
      <c r="AO12" s="7886"/>
      <c r="AP12" s="7886"/>
      <c r="AQ12" s="7886"/>
      <c r="AR12" s="7886"/>
      <c r="AS12" s="7886"/>
      <c r="AT12" s="7886"/>
      <c r="AU12" s="7886"/>
      <c r="AV12" s="7886"/>
      <c r="AW12" s="7886"/>
      <c r="AX12" s="7886"/>
      <c r="AY12" s="7886"/>
      <c r="AZ12" s="7886"/>
      <c r="BA12" s="7886"/>
      <c r="BB12" s="7886"/>
      <c r="BC12" s="7886"/>
      <c r="BD12" s="7886"/>
      <c r="BE12" s="7886"/>
      <c r="BF12" s="7886"/>
      <c r="BG12" s="7886"/>
      <c r="BH12" s="7886"/>
      <c r="BI12" s="7886"/>
      <c r="BJ12" s="7886"/>
      <c r="BK12" s="7886"/>
      <c r="BL12" s="7886"/>
      <c r="BM12" s="7886"/>
      <c r="BN12" s="7886"/>
      <c r="BO12" s="7886"/>
      <c r="BP12" s="7886"/>
      <c r="BQ12" s="7886"/>
      <c r="BR12" s="7886"/>
      <c r="BS12" s="7886"/>
      <c r="BT12" s="7886"/>
      <c r="BU12" s="7886"/>
      <c r="BV12" s="7886"/>
      <c r="BW12" s="7886"/>
      <c r="BX12" s="7886"/>
      <c r="BY12" s="7886"/>
      <c r="BZ12" s="7886"/>
      <c r="CA12" s="7886"/>
      <c r="CB12" s="7886"/>
      <c r="CC12" s="7886"/>
      <c r="CD12" s="7886"/>
      <c r="CE12" s="7886"/>
      <c r="CF12" s="7886"/>
      <c r="CG12" s="7886"/>
      <c r="CH12" s="7886"/>
      <c r="CI12" s="7886"/>
      <c r="CJ12" s="7886"/>
      <c r="CK12" s="7886"/>
      <c r="CL12" s="7886"/>
      <c r="CM12" s="7886"/>
      <c r="CN12" s="21260"/>
      <c r="CO12" s="21260"/>
      <c r="CP12" s="21260"/>
      <c r="CQ12" s="21260"/>
      <c r="CR12" s="21260"/>
      <c r="CS12" s="21260"/>
      <c r="CT12" s="21260"/>
      <c r="CU12" s="1836"/>
      <c r="CV12" s="1836"/>
      <c r="CX12" s="1301"/>
      <c r="CY12" s="1301" t="str">
        <f>IF(T12="","",T12)</f>
        <v>Добавить централизованную систему для дифференциации</v>
      </c>
      <c r="CZ12" s="1301"/>
      <c r="DA12" s="1301"/>
      <c r="DB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7886"/>
      <c r="AK13" s="7886"/>
      <c r="AL13" s="7886"/>
      <c r="AM13" s="7886"/>
      <c r="AN13" s="7886"/>
      <c r="AO13" s="7886"/>
      <c r="AP13" s="7886"/>
      <c r="AQ13" s="7886"/>
      <c r="AR13" s="7886"/>
      <c r="AS13" s="7886"/>
      <c r="AT13" s="7886"/>
      <c r="AU13" s="7886"/>
      <c r="AV13" s="7886"/>
      <c r="AW13" s="7886"/>
      <c r="AX13" s="7886"/>
      <c r="AY13" s="7886"/>
      <c r="AZ13" s="7886"/>
      <c r="BA13" s="7886"/>
      <c r="BB13" s="7886"/>
      <c r="BC13" s="7886"/>
      <c r="BD13" s="7886"/>
      <c r="BE13" s="7886"/>
      <c r="BF13" s="7886"/>
      <c r="BG13" s="7886"/>
      <c r="BH13" s="7886"/>
      <c r="BI13" s="7886"/>
      <c r="BJ13" s="7886"/>
      <c r="BK13" s="7886"/>
      <c r="BL13" s="7886"/>
      <c r="BM13" s="7886"/>
      <c r="BN13" s="7886"/>
      <c r="BO13" s="7886"/>
      <c r="BP13" s="7886"/>
      <c r="BQ13" s="7886"/>
      <c r="BR13" s="7886"/>
      <c r="BS13" s="7886"/>
      <c r="BT13" s="7886"/>
      <c r="BU13" s="7886"/>
      <c r="BV13" s="7886"/>
      <c r="BW13" s="7886"/>
      <c r="BX13" s="7886"/>
      <c r="BY13" s="7886"/>
      <c r="BZ13" s="7886"/>
      <c r="CA13" s="7886"/>
      <c r="CB13" s="7886"/>
      <c r="CC13" s="7886"/>
      <c r="CD13" s="7886"/>
      <c r="CE13" s="7886"/>
      <c r="CF13" s="7886"/>
      <c r="CG13" s="7886"/>
      <c r="CH13" s="7886"/>
      <c r="CI13" s="7886"/>
      <c r="CJ13" s="7886"/>
      <c r="CK13" s="7886"/>
      <c r="CL13" s="7886"/>
      <c r="CM13" s="7886"/>
      <c r="CN13" s="21260"/>
      <c r="CO13" s="21260"/>
      <c r="CP13" s="21260"/>
      <c r="CQ13" s="21260"/>
      <c r="CR13" s="21260"/>
      <c r="CS13" s="21260"/>
      <c r="CT13" s="21260"/>
      <c r="CU13" s="1836"/>
      <c r="CV13" s="1836"/>
      <c r="CX13" s="1012"/>
      <c r="CY13" s="1012" t="str">
        <f>IF(T13="","",T13)</f>
        <v>Добавить территорию для дифференциации</v>
      </c>
      <c r="CZ13" s="1012"/>
      <c r="DA13" s="1012"/>
      <c r="DB13" s="1023">
        <v>0</v>
      </c>
    </row>
    <row customHeight="1" ht="14.25" hidden="1">
      <c r="AB14" s="839"/>
      <c r="AI14" s="839"/>
      <c r="AJ14" s="7684"/>
      <c r="AK14" s="7684"/>
      <c r="AL14" s="7684"/>
      <c r="AM14" s="7684"/>
      <c r="AN14" s="7684"/>
      <c r="AO14" s="7684"/>
      <c r="AP14" s="7684"/>
      <c r="AQ14" s="7684"/>
      <c r="AR14" s="7684"/>
      <c r="AS14" s="7684"/>
      <c r="AT14" s="7684"/>
      <c r="AU14" s="7684"/>
      <c r="AV14" s="7684"/>
      <c r="AW14" s="7684"/>
      <c r="AX14" s="7684"/>
      <c r="AY14" s="7684"/>
      <c r="AZ14" s="7684"/>
      <c r="BA14" s="7684"/>
      <c r="BB14" s="7684"/>
      <c r="BC14" s="7684"/>
      <c r="BD14" s="7684"/>
      <c r="BE14" s="7684"/>
      <c r="BF14" s="7684"/>
      <c r="BG14" s="7684"/>
      <c r="BH14" s="7684"/>
      <c r="BI14" s="7684"/>
      <c r="BJ14" s="7684"/>
      <c r="BK14" s="7684"/>
      <c r="BL14" s="7684"/>
      <c r="BM14" s="7684"/>
      <c r="BN14" s="7684"/>
      <c r="BO14" s="7684"/>
      <c r="BP14" s="7684"/>
      <c r="BQ14" s="7684"/>
      <c r="BR14" s="7684"/>
      <c r="BS14" s="7684"/>
      <c r="BT14" s="7684"/>
      <c r="BU14" s="7684"/>
      <c r="BV14" s="7684"/>
      <c r="BW14" s="7684"/>
      <c r="BX14" s="7684"/>
      <c r="BY14" s="7684"/>
      <c r="BZ14" s="7684"/>
      <c r="CA14" s="7684"/>
      <c r="CB14" s="7684"/>
      <c r="CC14" s="7684"/>
      <c r="CD14" s="7684"/>
      <c r="CE14" s="7684"/>
      <c r="CF14" s="7684"/>
      <c r="CG14" s="7684"/>
      <c r="CH14" s="7684"/>
      <c r="CI14" s="7684"/>
      <c r="CJ14" s="7684"/>
      <c r="CK14" s="7684"/>
      <c r="CL14" s="7684"/>
      <c r="CM14" s="7684"/>
      <c r="CN14" s="21020"/>
      <c r="CO14" s="21020"/>
      <c r="CP14" s="21020"/>
      <c r="CQ14" s="21020"/>
      <c r="CR14" s="21020"/>
      <c r="CS14" s="21020"/>
      <c r="CT14" s="21020"/>
      <c r="DB14" s="1667">
        <v>0</v>
      </c>
    </row>
    <row customHeight="1" ht="14.25" hidden="1">
      <c r="AC15" s="1872"/>
      <c r="AD15" s="1872"/>
      <c r="AE15" s="1873"/>
      <c r="AF15" s="2779"/>
      <c r="AG15" s="2780" t="s">
        <v>63</v>
      </c>
      <c r="AH15" s="2779"/>
      <c r="AI15" s="2780" t="s">
        <v>63</v>
      </c>
      <c r="AJ15" s="7684"/>
      <c r="AK15" s="7684"/>
      <c r="AL15" s="7684"/>
      <c r="AM15" s="7684"/>
      <c r="AN15" s="7684"/>
      <c r="AO15" s="7684"/>
      <c r="AP15" s="7684"/>
      <c r="AQ15" s="7684"/>
      <c r="AR15" s="7684"/>
      <c r="AS15" s="7684"/>
      <c r="AT15" s="7684"/>
      <c r="AU15" s="7684"/>
      <c r="AV15" s="7684"/>
      <c r="AW15" s="7684"/>
      <c r="AX15" s="7684"/>
      <c r="AY15" s="7684"/>
      <c r="AZ15" s="7684"/>
      <c r="BA15" s="7684"/>
      <c r="BB15" s="7684"/>
      <c r="BC15" s="7684"/>
      <c r="BD15" s="7684"/>
      <c r="BE15" s="7684"/>
      <c r="BF15" s="7684"/>
      <c r="BG15" s="7684"/>
      <c r="BH15" s="7684"/>
      <c r="BI15" s="7684"/>
      <c r="BJ15" s="7684"/>
      <c r="BK15" s="7684"/>
      <c r="BL15" s="7684"/>
      <c r="BM15" s="7684"/>
      <c r="BN15" s="7684"/>
      <c r="BO15" s="7684"/>
      <c r="BP15" s="7684"/>
      <c r="BQ15" s="7684"/>
      <c r="BR15" s="7684"/>
      <c r="BS15" s="7684"/>
      <c r="BT15" s="7684"/>
      <c r="BU15" s="7684"/>
      <c r="BV15" s="7684"/>
      <c r="BW15" s="7684"/>
      <c r="BX15" s="7684"/>
      <c r="BY15" s="7684"/>
      <c r="BZ15" s="7684"/>
      <c r="CA15" s="7684"/>
      <c r="CB15" s="7684"/>
      <c r="CC15" s="7684"/>
      <c r="CD15" s="7684"/>
      <c r="CE15" s="7684"/>
      <c r="CF15" s="7684"/>
      <c r="CG15" s="7684"/>
      <c r="CH15" s="7684"/>
      <c r="CI15" s="7684"/>
      <c r="CJ15" s="7684"/>
      <c r="CK15" s="7684"/>
      <c r="CL15" s="7684"/>
      <c r="CM15" s="7684"/>
      <c r="CN15" s="21020"/>
      <c r="CO15" s="21020"/>
      <c r="CP15" s="21020"/>
      <c r="CQ15" s="21020"/>
      <c r="CR15" s="21020"/>
      <c r="CS15" s="21020"/>
      <c r="CT15" s="21020"/>
      <c r="DB15" s="1667">
        <v>0</v>
      </c>
    </row>
    <row customHeight="1" ht="14.25" hidden="1">
      <c r="AC16" s="1872"/>
      <c r="AD16" s="1872"/>
      <c r="AE16" s="840" t="str">
        <f>AF15&amp;"-"&amp;AH15</f>
        <v>-</v>
      </c>
      <c r="AF16" s="2780"/>
      <c r="AG16" s="2780"/>
      <c r="AH16" s="2780"/>
      <c r="AI16" s="2780"/>
      <c r="AJ16" s="7684"/>
      <c r="AK16" s="7684"/>
      <c r="AL16" s="7684"/>
      <c r="AM16" s="7684"/>
      <c r="AN16" s="7684"/>
      <c r="AO16" s="7684"/>
      <c r="AP16" s="7684"/>
      <c r="AQ16" s="7684"/>
      <c r="AR16" s="7684"/>
      <c r="AS16" s="7684"/>
      <c r="AT16" s="7684"/>
      <c r="AU16" s="7684"/>
      <c r="AV16" s="7684"/>
      <c r="AW16" s="7684"/>
      <c r="AX16" s="7684"/>
      <c r="AY16" s="7684"/>
      <c r="AZ16" s="7684"/>
      <c r="BA16" s="7684"/>
      <c r="BB16" s="7684"/>
      <c r="BC16" s="7684"/>
      <c r="BD16" s="7684"/>
      <c r="BE16" s="7684"/>
      <c r="BF16" s="7684"/>
      <c r="BG16" s="7684"/>
      <c r="BH16" s="7684"/>
      <c r="BI16" s="7684"/>
      <c r="BJ16" s="7684"/>
      <c r="BK16" s="7684"/>
      <c r="BL16" s="7684"/>
      <c r="BM16" s="7684"/>
      <c r="BN16" s="7684"/>
      <c r="BO16" s="7684"/>
      <c r="BP16" s="7684"/>
      <c r="BQ16" s="7684"/>
      <c r="BR16" s="7684"/>
      <c r="BS16" s="7684"/>
      <c r="BT16" s="7684"/>
      <c r="BU16" s="7684"/>
      <c r="BV16" s="7684"/>
      <c r="BW16" s="7684"/>
      <c r="BX16" s="7684"/>
      <c r="BY16" s="7684"/>
      <c r="BZ16" s="7684"/>
      <c r="CA16" s="7684"/>
      <c r="CB16" s="7684"/>
      <c r="CC16" s="7684"/>
      <c r="CD16" s="7684"/>
      <c r="CE16" s="7684"/>
      <c r="CF16" s="7684"/>
      <c r="CG16" s="7684"/>
      <c r="CH16" s="7684"/>
      <c r="CI16" s="7684"/>
      <c r="CJ16" s="7684"/>
      <c r="CK16" s="7684"/>
      <c r="CL16" s="7684"/>
      <c r="CM16" s="7684"/>
      <c r="CN16" s="21020"/>
      <c r="CO16" s="21020"/>
      <c r="CP16" s="21020"/>
      <c r="CQ16" s="21020"/>
      <c r="CR16" s="21020"/>
      <c r="CS16" s="21020"/>
      <c r="CT16" s="21020"/>
      <c r="DB16" s="1667">
        <v>0</v>
      </c>
    </row>
    <row customHeight="1" ht="14.25" hidden="1">
      <c r="AI17" s="839"/>
      <c r="AJ17" s="7684"/>
      <c r="AK17" s="7684"/>
      <c r="AL17" s="7684"/>
      <c r="AM17" s="7684"/>
      <c r="AN17" s="7684"/>
      <c r="AO17" s="7684"/>
      <c r="AP17" s="7684"/>
      <c r="AQ17" s="7684"/>
      <c r="AR17" s="7684"/>
      <c r="AS17" s="7684"/>
      <c r="AT17" s="7684"/>
      <c r="AU17" s="7684"/>
      <c r="AV17" s="7684"/>
      <c r="AW17" s="7684"/>
      <c r="AX17" s="7684"/>
      <c r="AY17" s="7684"/>
      <c r="AZ17" s="7684"/>
      <c r="BA17" s="7684"/>
      <c r="BB17" s="7684"/>
      <c r="BC17" s="7684"/>
      <c r="BD17" s="7684"/>
      <c r="BE17" s="7684"/>
      <c r="BF17" s="7684"/>
      <c r="BG17" s="7684"/>
      <c r="BH17" s="7684"/>
      <c r="BI17" s="7684"/>
      <c r="BJ17" s="7684"/>
      <c r="BK17" s="7684"/>
      <c r="BL17" s="7684"/>
      <c r="BM17" s="7684"/>
      <c r="BN17" s="7684"/>
      <c r="BO17" s="7684"/>
      <c r="BP17" s="7684"/>
      <c r="BQ17" s="7684"/>
      <c r="BR17" s="7684"/>
      <c r="BS17" s="7684"/>
      <c r="BT17" s="7684"/>
      <c r="BU17" s="7684"/>
      <c r="BV17" s="7684"/>
      <c r="BW17" s="7684"/>
      <c r="BX17" s="7684"/>
      <c r="BY17" s="7684"/>
      <c r="BZ17" s="7684"/>
      <c r="CA17" s="7684"/>
      <c r="CB17" s="7684"/>
      <c r="CC17" s="7684"/>
      <c r="CD17" s="7684"/>
      <c r="CE17" s="7684"/>
      <c r="CF17" s="7684"/>
      <c r="CG17" s="7684"/>
      <c r="CH17" s="7684"/>
      <c r="CI17" s="7684"/>
      <c r="CJ17" s="7684"/>
      <c r="CK17" s="7684"/>
      <c r="CL17" s="7684"/>
      <c r="CM17" s="7684"/>
      <c r="CN17" s="21020"/>
      <c r="CO17" s="21020"/>
      <c r="CP17" s="21020"/>
      <c r="CQ17" s="21020"/>
      <c r="CR17" s="21020"/>
      <c r="CS17" s="21020"/>
      <c r="CT17" s="21020"/>
      <c r="DB17" s="1667">
        <v>0</v>
      </c>
    </row>
    <row s="50881" customFormat="1" customHeight="1" ht="22.5" hidden="1">
      <c r="L18" s="1933"/>
      <c r="M18" s="1874"/>
      <c r="N18" s="1874"/>
      <c r="O18" s="1879" t="s">
        <v>554</v>
      </c>
      <c r="P18" s="1874"/>
      <c r="Q18" s="1883"/>
      <c r="R18" s="1883"/>
      <c r="S18" s="1241"/>
      <c r="Y18" s="1879"/>
      <c r="AA18" s="1879"/>
      <c r="AB18" s="1878"/>
      <c r="AF18" s="1879"/>
      <c r="AH18" s="1879"/>
      <c r="AI18" s="1878"/>
      <c r="AJ18" s="7888"/>
      <c r="AK18" s="7888"/>
      <c r="AL18" s="7888"/>
      <c r="AM18" s="7889"/>
      <c r="AN18" s="7888"/>
      <c r="AO18" s="7889"/>
      <c r="AP18" s="7888"/>
      <c r="AQ18" s="7888"/>
      <c r="AR18" s="7888"/>
      <c r="AS18" s="7888"/>
      <c r="AT18" s="7889"/>
      <c r="AU18" s="7888"/>
      <c r="AV18" s="7889"/>
      <c r="AW18" s="7888"/>
      <c r="AX18" s="7888"/>
      <c r="AY18" s="7888"/>
      <c r="AZ18" s="7888"/>
      <c r="BA18" s="7889"/>
      <c r="BB18" s="7888"/>
      <c r="BC18" s="7889"/>
      <c r="BD18" s="7888"/>
      <c r="BE18" s="7888"/>
      <c r="BF18" s="7888"/>
      <c r="BG18" s="7888"/>
      <c r="BH18" s="7889"/>
      <c r="BI18" s="7888"/>
      <c r="BJ18" s="7889"/>
      <c r="BK18" s="7888"/>
      <c r="BL18" s="7888"/>
      <c r="BM18" s="7888"/>
      <c r="BN18" s="7888"/>
      <c r="BO18" s="7889"/>
      <c r="BP18" s="7888"/>
      <c r="BQ18" s="7889"/>
      <c r="BR18" s="7888"/>
      <c r="BS18" s="7888"/>
      <c r="BT18" s="7888"/>
      <c r="BU18" s="7888"/>
      <c r="BV18" s="7889"/>
      <c r="BW18" s="7888"/>
      <c r="BX18" s="7889"/>
      <c r="BY18" s="7888"/>
      <c r="BZ18" s="7888"/>
      <c r="CA18" s="7888"/>
      <c r="CB18" s="7888"/>
      <c r="CC18" s="7889"/>
      <c r="CD18" s="7888"/>
      <c r="CE18" s="7889"/>
      <c r="CF18" s="7888"/>
      <c r="CG18" s="7888"/>
      <c r="CH18" s="7888"/>
      <c r="CI18" s="7888"/>
      <c r="CJ18" s="7889"/>
      <c r="CK18" s="7888"/>
      <c r="CL18" s="7889"/>
      <c r="CM18" s="7888"/>
      <c r="CN18" s="21264"/>
      <c r="CO18" s="21264"/>
      <c r="CP18" s="21264"/>
      <c r="CQ18" s="21265"/>
      <c r="CR18" s="21264"/>
      <c r="CS18" s="21265"/>
      <c r="CT18" s="21264"/>
      <c r="CW18" s="1023"/>
      <c r="CX18" s="1023"/>
      <c r="CY18" s="1023"/>
      <c r="CZ18" s="1023"/>
      <c r="DA18" s="1023"/>
      <c r="DB18" s="1672">
        <v>0</v>
      </c>
    </row>
    <row s="50881" customFormat="1" customHeight="1" ht="14.25" hidden="1">
      <c r="L19" s="1933"/>
      <c r="M19" s="1874"/>
      <c r="N19" s="1874"/>
      <c r="O19" s="1874"/>
      <c r="P19" s="1874"/>
      <c r="Q19" s="1883"/>
      <c r="R19" s="1883"/>
      <c r="S19" s="1241"/>
      <c r="AB19" s="1878"/>
      <c r="AI19" s="1878"/>
      <c r="AJ19" s="7888"/>
      <c r="AK19" s="7888"/>
      <c r="AL19" s="7888"/>
      <c r="AM19" s="7888"/>
      <c r="AN19" s="7888"/>
      <c r="AO19" s="7888"/>
      <c r="AP19" s="7888"/>
      <c r="AQ19" s="7888"/>
      <c r="AR19" s="7888"/>
      <c r="AS19" s="7888"/>
      <c r="AT19" s="7888"/>
      <c r="AU19" s="7888"/>
      <c r="AV19" s="7888"/>
      <c r="AW19" s="7888"/>
      <c r="AX19" s="7888"/>
      <c r="AY19" s="7888"/>
      <c r="AZ19" s="7888"/>
      <c r="BA19" s="7888"/>
      <c r="BB19" s="7888"/>
      <c r="BC19" s="7888"/>
      <c r="BD19" s="7888"/>
      <c r="BE19" s="7888"/>
      <c r="BF19" s="7888"/>
      <c r="BG19" s="7888"/>
      <c r="BH19" s="7888"/>
      <c r="BI19" s="7888"/>
      <c r="BJ19" s="7888"/>
      <c r="BK19" s="7888"/>
      <c r="BL19" s="7888"/>
      <c r="BM19" s="7888"/>
      <c r="BN19" s="7888"/>
      <c r="BO19" s="7888"/>
      <c r="BP19" s="7888"/>
      <c r="BQ19" s="7888"/>
      <c r="BR19" s="7888"/>
      <c r="BS19" s="7888"/>
      <c r="BT19" s="7888"/>
      <c r="BU19" s="7888"/>
      <c r="BV19" s="7888"/>
      <c r="BW19" s="7888"/>
      <c r="BX19" s="7888"/>
      <c r="BY19" s="7888"/>
      <c r="BZ19" s="7888"/>
      <c r="CA19" s="7888"/>
      <c r="CB19" s="7888"/>
      <c r="CC19" s="7888"/>
      <c r="CD19" s="7888"/>
      <c r="CE19" s="7888"/>
      <c r="CF19" s="7888"/>
      <c r="CG19" s="7888"/>
      <c r="CH19" s="7888"/>
      <c r="CI19" s="7888"/>
      <c r="CJ19" s="7888"/>
      <c r="CK19" s="7888"/>
      <c r="CL19" s="7888"/>
      <c r="CM19" s="7888"/>
      <c r="CN19" s="21264"/>
      <c r="CO19" s="21264"/>
      <c r="CP19" s="21264"/>
      <c r="CQ19" s="21264"/>
      <c r="CR19" s="21264"/>
      <c r="CS19" s="21264"/>
      <c r="CT19" s="21264"/>
      <c r="CW19" s="1023"/>
      <c r="CX19" s="1023"/>
      <c r="CY19" s="1023"/>
      <c r="CZ19" s="1023"/>
      <c r="DA19" s="1023"/>
      <c r="DB19" s="1672">
        <v>0</v>
      </c>
    </row>
    <row s="50881" customFormat="1" customHeight="1" ht="12" hidden="1">
      <c r="L20" s="1933"/>
      <c r="M20" s="1874"/>
      <c r="N20" s="1874"/>
      <c r="O20" s="1876" t="s">
        <v>555</v>
      </c>
      <c r="P20" s="1874"/>
      <c r="Q20" s="1954"/>
      <c r="R20" s="1954"/>
      <c r="S20" s="1241"/>
      <c r="T20" s="1672" t="s">
        <v>556</v>
      </c>
      <c r="Z20" s="698" t="s">
        <v>557</v>
      </c>
      <c r="AB20" s="698" t="s">
        <v>558</v>
      </c>
      <c r="AC20" s="1672" t="s">
        <v>556</v>
      </c>
      <c r="AG20" s="698" t="s">
        <v>559</v>
      </c>
      <c r="AI20" s="698" t="s">
        <v>558</v>
      </c>
      <c r="AJ20" s="7888"/>
      <c r="AK20" s="7888"/>
      <c r="AL20" s="7888"/>
      <c r="AM20" s="7888"/>
      <c r="AN20" s="7891" t="s">
        <v>557</v>
      </c>
      <c r="AO20" s="7888"/>
      <c r="AP20" s="7891" t="s">
        <v>558</v>
      </c>
      <c r="AQ20" s="7888"/>
      <c r="AR20" s="7888"/>
      <c r="AS20" s="7888"/>
      <c r="AT20" s="7888"/>
      <c r="AU20" s="7891" t="s">
        <v>557</v>
      </c>
      <c r="AV20" s="7888"/>
      <c r="AW20" s="7891" t="s">
        <v>558</v>
      </c>
      <c r="AX20" s="7888"/>
      <c r="AY20" s="7888"/>
      <c r="AZ20" s="7888"/>
      <c r="BA20" s="7888"/>
      <c r="BB20" s="7891" t="s">
        <v>557</v>
      </c>
      <c r="BC20" s="7888"/>
      <c r="BD20" s="7891" t="s">
        <v>558</v>
      </c>
      <c r="BE20" s="7888"/>
      <c r="BF20" s="7888"/>
      <c r="BG20" s="7888"/>
      <c r="BH20" s="7888"/>
      <c r="BI20" s="7891" t="s">
        <v>557</v>
      </c>
      <c r="BJ20" s="7888"/>
      <c r="BK20" s="7891" t="s">
        <v>558</v>
      </c>
      <c r="BL20" s="7888"/>
      <c r="BM20" s="7888"/>
      <c r="BN20" s="7888"/>
      <c r="BO20" s="7888"/>
      <c r="BP20" s="7891" t="s">
        <v>557</v>
      </c>
      <c r="BQ20" s="7888"/>
      <c r="BR20" s="7891" t="s">
        <v>558</v>
      </c>
      <c r="BS20" s="7888"/>
      <c r="BT20" s="7888"/>
      <c r="BU20" s="7888"/>
      <c r="BV20" s="7888"/>
      <c r="BW20" s="7891" t="s">
        <v>557</v>
      </c>
      <c r="BX20" s="7888"/>
      <c r="BY20" s="7891" t="s">
        <v>558</v>
      </c>
      <c r="BZ20" s="7888"/>
      <c r="CA20" s="7888"/>
      <c r="CB20" s="7888"/>
      <c r="CC20" s="7888"/>
      <c r="CD20" s="7891" t="s">
        <v>557</v>
      </c>
      <c r="CE20" s="7888"/>
      <c r="CF20" s="7891" t="s">
        <v>558</v>
      </c>
      <c r="CG20" s="7888"/>
      <c r="CH20" s="7888"/>
      <c r="CI20" s="7888"/>
      <c r="CJ20" s="7888"/>
      <c r="CK20" s="7891" t="s">
        <v>557</v>
      </c>
      <c r="CL20" s="7888"/>
      <c r="CM20" s="7891" t="s">
        <v>558</v>
      </c>
      <c r="CN20" s="21264"/>
      <c r="CO20" s="21264"/>
      <c r="CP20" s="21264"/>
      <c r="CQ20" s="21264"/>
      <c r="CR20" s="21268" t="s">
        <v>557</v>
      </c>
      <c r="CS20" s="21264"/>
      <c r="CT20" s="21268" t="s">
        <v>558</v>
      </c>
      <c r="DB20" s="1672">
        <v>0</v>
      </c>
    </row>
    <row customHeight="1" ht="14.25" hidden="1">
      <c r="O21" s="1876"/>
      <c r="AJ21" s="7684"/>
      <c r="AK21" s="7684"/>
      <c r="AL21" s="7684"/>
      <c r="AM21" s="7684"/>
      <c r="AN21" s="7684"/>
      <c r="AO21" s="7684"/>
      <c r="AP21" s="7684"/>
      <c r="AQ21" s="7684"/>
      <c r="AR21" s="7684"/>
      <c r="AS21" s="7684"/>
      <c r="AT21" s="7684"/>
      <c r="AU21" s="7684"/>
      <c r="AV21" s="7684"/>
      <c r="AW21" s="7684"/>
      <c r="AX21" s="7684"/>
      <c r="AY21" s="7684"/>
      <c r="AZ21" s="7684"/>
      <c r="BA21" s="7684"/>
      <c r="BB21" s="7684"/>
      <c r="BC21" s="7684"/>
      <c r="BD21" s="7684"/>
      <c r="BE21" s="7684"/>
      <c r="BF21" s="7684"/>
      <c r="BG21" s="7684"/>
      <c r="BH21" s="7684"/>
      <c r="BI21" s="7684"/>
      <c r="BJ21" s="7684"/>
      <c r="BK21" s="7684"/>
      <c r="BL21" s="7684"/>
      <c r="BM21" s="7684"/>
      <c r="BN21" s="7684"/>
      <c r="BO21" s="7684"/>
      <c r="BP21" s="7684"/>
      <c r="BQ21" s="7684"/>
      <c r="BR21" s="7684"/>
      <c r="BS21" s="7684"/>
      <c r="BT21" s="7684"/>
      <c r="BU21" s="7684"/>
      <c r="BV21" s="7684"/>
      <c r="BW21" s="7684"/>
      <c r="BX21" s="7684"/>
      <c r="BY21" s="7684"/>
      <c r="BZ21" s="7684"/>
      <c r="CA21" s="7684"/>
      <c r="CB21" s="7684"/>
      <c r="CC21" s="7684"/>
      <c r="CD21" s="7684"/>
      <c r="CE21" s="7684"/>
      <c r="CF21" s="7684"/>
      <c r="CG21" s="7684"/>
      <c r="CH21" s="7684"/>
      <c r="CI21" s="7684"/>
      <c r="CJ21" s="7684"/>
      <c r="CK21" s="7684"/>
      <c r="CL21" s="7684"/>
      <c r="CM21" s="7684"/>
      <c r="CN21" s="21020"/>
      <c r="CO21" s="21020"/>
      <c r="CP21" s="21020"/>
      <c r="CQ21" s="21020"/>
      <c r="CR21" s="21020"/>
      <c r="CS21" s="21020"/>
      <c r="CT21" s="21020"/>
      <c r="DB21" s="1667">
        <v>0</v>
      </c>
    </row>
    <row customHeight="1" ht="14.25" hidden="1">
      <c r="O22" s="1876"/>
      <c r="AJ22" s="7684"/>
      <c r="AK22" s="7684"/>
      <c r="AL22" s="7684"/>
      <c r="AM22" s="7684"/>
      <c r="AN22" s="7684"/>
      <c r="AO22" s="7684"/>
      <c r="AP22" s="7684"/>
      <c r="AQ22" s="7684"/>
      <c r="AR22" s="7684"/>
      <c r="AS22" s="7684"/>
      <c r="AT22" s="7684"/>
      <c r="AU22" s="7684"/>
      <c r="AV22" s="7684"/>
      <c r="AW22" s="7684"/>
      <c r="AX22" s="7684"/>
      <c r="AY22" s="7684"/>
      <c r="AZ22" s="7684"/>
      <c r="BA22" s="7684"/>
      <c r="BB22" s="7684"/>
      <c r="BC22" s="7684"/>
      <c r="BD22" s="7684"/>
      <c r="BE22" s="7684"/>
      <c r="BF22" s="7684"/>
      <c r="BG22" s="7684"/>
      <c r="BH22" s="7684"/>
      <c r="BI22" s="7684"/>
      <c r="BJ22" s="7684"/>
      <c r="BK22" s="7684"/>
      <c r="BL22" s="7684"/>
      <c r="BM22" s="7684"/>
      <c r="BN22" s="7684"/>
      <c r="BO22" s="7684"/>
      <c r="BP22" s="7684"/>
      <c r="BQ22" s="7684"/>
      <c r="BR22" s="7684"/>
      <c r="BS22" s="7684"/>
      <c r="BT22" s="7684"/>
      <c r="BU22" s="7684"/>
      <c r="BV22" s="7684"/>
      <c r="BW22" s="7684"/>
      <c r="BX22" s="7684"/>
      <c r="BY22" s="7684"/>
      <c r="BZ22" s="7684"/>
      <c r="CA22" s="7684"/>
      <c r="CB22" s="7684"/>
      <c r="CC22" s="7684"/>
      <c r="CD22" s="7684"/>
      <c r="CE22" s="7684"/>
      <c r="CF22" s="7684"/>
      <c r="CG22" s="7684"/>
      <c r="CH22" s="7684"/>
      <c r="CI22" s="7684"/>
      <c r="CJ22" s="7684"/>
      <c r="CK22" s="7684"/>
      <c r="CL22" s="7684"/>
      <c r="CM22" s="7684"/>
      <c r="CN22" s="21020"/>
      <c r="CO22" s="21020"/>
      <c r="CP22" s="21020"/>
      <c r="CQ22" s="21020"/>
      <c r="CR22" s="21020"/>
      <c r="CS22" s="21020"/>
      <c r="CT22" s="21020"/>
      <c r="DB22" s="1667">
        <v>0</v>
      </c>
    </row>
    <row customHeight="1" ht="3.3570098876953125">
      <c r="Q23" s="888"/>
      <c r="R23" s="888"/>
      <c r="S23" s="1787"/>
      <c r="T23" s="875"/>
      <c r="U23" s="875"/>
      <c r="V23" s="1021"/>
      <c r="W23" s="1021"/>
      <c r="X23" s="1021"/>
      <c r="Y23" s="1021"/>
      <c r="Z23" s="1021"/>
      <c r="AA23" s="1021"/>
      <c r="AB23" s="1021"/>
      <c r="AC23" s="1021"/>
      <c r="AD23" s="1021"/>
      <c r="AE23" s="1021"/>
      <c r="AF23" s="1021"/>
      <c r="AG23" s="1021"/>
      <c r="AH23" s="1021"/>
      <c r="AI23" s="1021"/>
      <c r="AJ23" s="7684"/>
      <c r="AK23" s="7684"/>
      <c r="AL23" s="7684"/>
      <c r="AM23" s="7684"/>
      <c r="AN23" s="7684"/>
      <c r="AO23" s="7684"/>
      <c r="AP23" s="7684"/>
      <c r="AQ23" s="7684"/>
      <c r="AR23" s="7684"/>
      <c r="AS23" s="7684"/>
      <c r="AT23" s="7684"/>
      <c r="AU23" s="7684"/>
      <c r="AV23" s="7684"/>
      <c r="AW23" s="7684"/>
      <c r="AX23" s="7684"/>
      <c r="AY23" s="7684"/>
      <c r="AZ23" s="7684"/>
      <c r="BA23" s="7684"/>
      <c r="BB23" s="7684"/>
      <c r="BC23" s="7684"/>
      <c r="BD23" s="7684"/>
      <c r="BE23" s="7684"/>
      <c r="BF23" s="7684"/>
      <c r="BG23" s="7684"/>
      <c r="BH23" s="7684"/>
      <c r="BI23" s="7684"/>
      <c r="BJ23" s="7684"/>
      <c r="BK23" s="7684"/>
      <c r="BL23" s="7684"/>
      <c r="BM23" s="7684"/>
      <c r="BN23" s="7684"/>
      <c r="BO23" s="7684"/>
      <c r="BP23" s="7684"/>
      <c r="BQ23" s="7684"/>
      <c r="BR23" s="7684"/>
      <c r="BS23" s="7684"/>
      <c r="BT23" s="7684"/>
      <c r="BU23" s="7684"/>
      <c r="BV23" s="7684"/>
      <c r="BW23" s="7684"/>
      <c r="BX23" s="7684"/>
      <c r="BY23" s="7684"/>
      <c r="BZ23" s="7684"/>
      <c r="CA23" s="7684"/>
      <c r="CB23" s="7684"/>
      <c r="CC23" s="7684"/>
      <c r="CD23" s="7684"/>
      <c r="CE23" s="7684"/>
      <c r="CF23" s="7684"/>
      <c r="CG23" s="7684"/>
      <c r="CH23" s="7684"/>
      <c r="CI23" s="7684"/>
      <c r="CJ23" s="7684"/>
      <c r="CK23" s="7684"/>
      <c r="CL23" s="7684"/>
      <c r="CM23" s="7684"/>
      <c r="CN23" s="21020"/>
      <c r="CO23" s="21020"/>
      <c r="CP23" s="21020"/>
      <c r="CQ23" s="21020"/>
      <c r="CR23" s="21020"/>
      <c r="CS23" s="21020"/>
      <c r="CT23" s="21020"/>
      <c r="DB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J24" s="7892"/>
      <c r="AK24" s="7892"/>
      <c r="AL24" s="7892"/>
      <c r="AM24" s="7892"/>
      <c r="AN24" s="7892"/>
      <c r="AO24" s="7892"/>
      <c r="AP24" s="7892"/>
      <c r="AQ24" s="7892"/>
      <c r="AR24" s="7892"/>
      <c r="AS24" s="7892"/>
      <c r="AT24" s="7892"/>
      <c r="AU24" s="7892"/>
      <c r="AV24" s="7892"/>
      <c r="AW24" s="7892"/>
      <c r="AX24" s="7892"/>
      <c r="AY24" s="7892"/>
      <c r="AZ24" s="7892"/>
      <c r="BA24" s="7892"/>
      <c r="BB24" s="7892"/>
      <c r="BC24" s="7892"/>
      <c r="BD24" s="7892"/>
      <c r="BE24" s="7892"/>
      <c r="BF24" s="7892"/>
      <c r="BG24" s="7892"/>
      <c r="BH24" s="7892"/>
      <c r="BI24" s="7892"/>
      <c r="BJ24" s="7892"/>
      <c r="BK24" s="7892"/>
      <c r="BL24" s="7892"/>
      <c r="BM24" s="7892"/>
      <c r="BN24" s="7892"/>
      <c r="BO24" s="7892"/>
      <c r="BP24" s="7892"/>
      <c r="BQ24" s="7892"/>
      <c r="BR24" s="7892"/>
      <c r="BS24" s="7892"/>
      <c r="BT24" s="7892"/>
      <c r="BU24" s="7892"/>
      <c r="BV24" s="7892"/>
      <c r="BW24" s="7892"/>
      <c r="BX24" s="7892"/>
      <c r="BY24" s="7892"/>
      <c r="BZ24" s="7892"/>
      <c r="CA24" s="7892"/>
      <c r="CB24" s="7892"/>
      <c r="CC24" s="7892"/>
      <c r="CD24" s="7892"/>
      <c r="CE24" s="7892"/>
      <c r="CF24" s="7892"/>
      <c r="CG24" s="7892"/>
      <c r="CH24" s="7892"/>
      <c r="CI24" s="7892"/>
      <c r="CJ24" s="7892"/>
      <c r="CK24" s="7892"/>
      <c r="CL24" s="7892"/>
      <c r="CM24" s="7892"/>
      <c r="CN24" s="21270"/>
      <c r="CO24" s="21270"/>
      <c r="CP24" s="21270"/>
      <c r="CQ24" s="21270"/>
      <c r="CR24" s="21270"/>
      <c r="CS24" s="21270"/>
      <c r="CT24" s="21270"/>
      <c r="DB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J25" s="7893"/>
      <c r="AK25" s="7893"/>
      <c r="AL25" s="7893"/>
      <c r="AM25" s="7893"/>
      <c r="AN25" s="7893"/>
      <c r="AO25" s="7893"/>
      <c r="AP25" s="7893"/>
      <c r="AQ25" s="7893"/>
      <c r="AR25" s="7893"/>
      <c r="AS25" s="7893"/>
      <c r="AT25" s="7893"/>
      <c r="AU25" s="7893"/>
      <c r="AV25" s="7893"/>
      <c r="AW25" s="7893"/>
      <c r="AX25" s="7893"/>
      <c r="AY25" s="7893"/>
      <c r="AZ25" s="7893"/>
      <c r="BA25" s="7893"/>
      <c r="BB25" s="7893"/>
      <c r="BC25" s="7893"/>
      <c r="BD25" s="7893"/>
      <c r="BE25" s="7893"/>
      <c r="BF25" s="7893"/>
      <c r="BG25" s="7893"/>
      <c r="BH25" s="7893"/>
      <c r="BI25" s="7893"/>
      <c r="BJ25" s="7893"/>
      <c r="BK25" s="7893"/>
      <c r="BL25" s="7893"/>
      <c r="BM25" s="7893"/>
      <c r="BN25" s="7893"/>
      <c r="BO25" s="7893"/>
      <c r="BP25" s="7893"/>
      <c r="BQ25" s="7893"/>
      <c r="BR25" s="7893"/>
      <c r="BS25" s="7893"/>
      <c r="BT25" s="7893"/>
      <c r="BU25" s="7893"/>
      <c r="BV25" s="7893"/>
      <c r="BW25" s="7893"/>
      <c r="BX25" s="7893"/>
      <c r="BY25" s="7893"/>
      <c r="BZ25" s="7893"/>
      <c r="CA25" s="7893"/>
      <c r="CB25" s="7893"/>
      <c r="CC25" s="7893"/>
      <c r="CD25" s="7893"/>
      <c r="CE25" s="7893"/>
      <c r="CF25" s="7893"/>
      <c r="CG25" s="7893"/>
      <c r="CH25" s="7893"/>
      <c r="CI25" s="7893"/>
      <c r="CJ25" s="7893"/>
      <c r="CK25" s="7893"/>
      <c r="CL25" s="7893"/>
      <c r="CM25" s="7893"/>
      <c r="CN25" s="21272"/>
      <c r="CO25" s="21272"/>
      <c r="CP25" s="21272"/>
      <c r="CQ25" s="21272"/>
      <c r="CR25" s="21272"/>
      <c r="CS25" s="21272"/>
      <c r="CT25" s="21272"/>
      <c r="DB25" s="1667">
        <v>14</v>
      </c>
    </row>
    <row customHeight="1" ht="0">
      <c r="Q26" s="888"/>
      <c r="R26" s="888"/>
      <c r="S26" s="1787"/>
      <c r="T26" s="875"/>
      <c r="U26" s="875"/>
      <c r="V26" s="834"/>
      <c r="W26" s="834"/>
      <c r="X26" s="834"/>
      <c r="Y26" s="834"/>
      <c r="Z26" s="834"/>
      <c r="AA26" s="834"/>
      <c r="AB26" s="834"/>
      <c r="AC26" s="834"/>
      <c r="AD26" s="834"/>
      <c r="AE26" s="834"/>
      <c r="AF26" s="834"/>
      <c r="AG26" s="834"/>
      <c r="AH26" s="834"/>
      <c r="AI26" s="834"/>
      <c r="AJ26" s="7894"/>
      <c r="AK26" s="7894"/>
      <c r="AL26" s="7894"/>
      <c r="AM26" s="7894"/>
      <c r="AN26" s="7894"/>
      <c r="AO26" s="7894"/>
      <c r="AP26" s="7894"/>
      <c r="AQ26" s="7894"/>
      <c r="AR26" s="7894"/>
      <c r="AS26" s="7894"/>
      <c r="AT26" s="7894"/>
      <c r="AU26" s="7894"/>
      <c r="AV26" s="7894"/>
      <c r="AW26" s="7894"/>
      <c r="AX26" s="7894"/>
      <c r="AY26" s="7894"/>
      <c r="AZ26" s="7894"/>
      <c r="BA26" s="7894"/>
      <c r="BB26" s="7894"/>
      <c r="BC26" s="7894"/>
      <c r="BD26" s="7894"/>
      <c r="BE26" s="7894"/>
      <c r="BF26" s="7894"/>
      <c r="BG26" s="7894"/>
      <c r="BH26" s="7894"/>
      <c r="BI26" s="7894"/>
      <c r="BJ26" s="7894"/>
      <c r="BK26" s="7894"/>
      <c r="BL26" s="7894"/>
      <c r="BM26" s="7894"/>
      <c r="BN26" s="7894"/>
      <c r="BO26" s="7894"/>
      <c r="BP26" s="7894"/>
      <c r="BQ26" s="7894"/>
      <c r="BR26" s="7894"/>
      <c r="BS26" s="7894"/>
      <c r="BT26" s="7894"/>
      <c r="BU26" s="7894"/>
      <c r="BV26" s="7894"/>
      <c r="BW26" s="7894"/>
      <c r="BX26" s="7894"/>
      <c r="BY26" s="7894"/>
      <c r="BZ26" s="7894"/>
      <c r="CA26" s="7894"/>
      <c r="CB26" s="7894"/>
      <c r="CC26" s="7894"/>
      <c r="CD26" s="7894"/>
      <c r="CE26" s="7894"/>
      <c r="CF26" s="7894"/>
      <c r="CG26" s="7894"/>
      <c r="CH26" s="7894"/>
      <c r="CI26" s="7894"/>
      <c r="CJ26" s="7894"/>
      <c r="CK26" s="7894"/>
      <c r="CL26" s="7894"/>
      <c r="CM26" s="7894"/>
      <c r="CN26" s="21274"/>
      <c r="CO26" s="21274"/>
      <c r="CP26" s="21274"/>
      <c r="CQ26" s="21274"/>
      <c r="CR26" s="21274"/>
      <c r="CS26" s="21274"/>
      <c r="CT26" s="21274"/>
      <c r="CU26" s="1021"/>
      <c r="DB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7895" t="str">
        <f>IF(TITLE_NAME_OR_PR_CHANGE="",IF(TITLE_NAME_OR_PR="","",TITLE_NAME_OR_PR),TITLE_NAME_OR_PR_CHANGE)</f>
        <v>Агентство по тарифам Приморского края</v>
      </c>
      <c r="AK27" s="7895"/>
      <c r="AL27" s="7895"/>
      <c r="AM27" s="7895"/>
      <c r="AN27" s="7895"/>
      <c r="AO27" s="7895"/>
      <c r="AP27" s="7684"/>
      <c r="AQ27" s="7895" t="str">
        <f>IF(TITLE_NAME_OR_PR_CHANGE="",IF(TITLE_NAME_OR_PR="","",TITLE_NAME_OR_PR),TITLE_NAME_OR_PR_CHANGE)</f>
        <v>Агентство по тарифам Приморского края</v>
      </c>
      <c r="AR27" s="7895"/>
      <c r="AS27" s="7895"/>
      <c r="AT27" s="7895"/>
      <c r="AU27" s="7895"/>
      <c r="AV27" s="7895"/>
      <c r="AW27" s="7684"/>
      <c r="AX27" s="7895" t="str">
        <f>IF(TITLE_NAME_OR_PR_CHANGE="",IF(TITLE_NAME_OR_PR="","",TITLE_NAME_OR_PR),TITLE_NAME_OR_PR_CHANGE)</f>
        <v>Агентство по тарифам Приморского края</v>
      </c>
      <c r="AY27" s="7895"/>
      <c r="AZ27" s="7895"/>
      <c r="BA27" s="7895"/>
      <c r="BB27" s="7895"/>
      <c r="BC27" s="7895"/>
      <c r="BD27" s="7684"/>
      <c r="BE27" s="7895" t="str">
        <f>IF(TITLE_NAME_OR_PR_CHANGE="",IF(TITLE_NAME_OR_PR="","",TITLE_NAME_OR_PR),TITLE_NAME_OR_PR_CHANGE)</f>
        <v>Агентство по тарифам Приморского края</v>
      </c>
      <c r="BF27" s="7895"/>
      <c r="BG27" s="7895"/>
      <c r="BH27" s="7895"/>
      <c r="BI27" s="7895"/>
      <c r="BJ27" s="7895"/>
      <c r="BK27" s="7684"/>
      <c r="BL27" s="7895" t="str">
        <f>IF(TITLE_NAME_OR_PR_CHANGE="",IF(TITLE_NAME_OR_PR="","",TITLE_NAME_OR_PR),TITLE_NAME_OR_PR_CHANGE)</f>
        <v>Агентство по тарифам Приморского края</v>
      </c>
      <c r="BM27" s="7895"/>
      <c r="BN27" s="7895"/>
      <c r="BO27" s="7895"/>
      <c r="BP27" s="7895"/>
      <c r="BQ27" s="7895"/>
      <c r="BR27" s="7684"/>
      <c r="BS27" s="7895" t="str">
        <f>IF(TITLE_NAME_OR_PR_CHANGE="",IF(TITLE_NAME_OR_PR="","",TITLE_NAME_OR_PR),TITLE_NAME_OR_PR_CHANGE)</f>
        <v>Агентство по тарифам Приморского края</v>
      </c>
      <c r="BT27" s="7895"/>
      <c r="BU27" s="7895"/>
      <c r="BV27" s="7895"/>
      <c r="BW27" s="7895"/>
      <c r="BX27" s="7895"/>
      <c r="BY27" s="7684"/>
      <c r="BZ27" s="7895" t="str">
        <f>IF(TITLE_NAME_OR_PR_CHANGE="",IF(TITLE_NAME_OR_PR="","",TITLE_NAME_OR_PR),TITLE_NAME_OR_PR_CHANGE)</f>
        <v>Агентство по тарифам Приморского края</v>
      </c>
      <c r="CA27" s="7895"/>
      <c r="CB27" s="7895"/>
      <c r="CC27" s="7895"/>
      <c r="CD27" s="7895"/>
      <c r="CE27" s="7895"/>
      <c r="CF27" s="7684"/>
      <c r="CG27" s="7895" t="str">
        <f>IF(TITLE_NAME_OR_PR_CHANGE="",IF(TITLE_NAME_OR_PR="","",TITLE_NAME_OR_PR),TITLE_NAME_OR_PR_CHANGE)</f>
        <v>Агентство по тарифам Приморского края</v>
      </c>
      <c r="CH27" s="7895"/>
      <c r="CI27" s="7895"/>
      <c r="CJ27" s="7895"/>
      <c r="CK27" s="7895"/>
      <c r="CL27" s="7895"/>
      <c r="CM27" s="7684"/>
      <c r="CN27" s="21276" t="str">
        <f>IF(TITLE_NAME_OR_PR_CHANGE="",IF(TITLE_NAME_OR_PR="","",TITLE_NAME_OR_PR),TITLE_NAME_OR_PR_CHANGE)</f>
        <v>Агентство по тарифам Приморского края</v>
      </c>
      <c r="CO27" s="21276"/>
      <c r="CP27" s="21276"/>
      <c r="CQ27" s="21276"/>
      <c r="CR27" s="21276"/>
      <c r="CS27" s="21276"/>
      <c r="CT27" s="21020"/>
      <c r="CU27" s="838"/>
      <c r="CV27" s="792"/>
      <c r="CW27" s="880"/>
      <c r="CX27" s="880"/>
      <c r="CY27" s="880"/>
      <c r="CZ27" s="880"/>
      <c r="DA27" s="880"/>
      <c r="DB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7896" t="str">
        <f>IF(TITLE_DATE_PR_CHANGE="",IF(TITLE_DATE_PR="","",TITLE_DATE_PR),TITLE_DATE_PR_CHANGE)</f>
        <v>45631.710694444446</v>
      </c>
      <c r="AK28" s="7896"/>
      <c r="AL28" s="7896"/>
      <c r="AM28" s="7896"/>
      <c r="AN28" s="7896"/>
      <c r="AO28" s="7896"/>
      <c r="AP28" s="7684"/>
      <c r="AQ28" s="7896" t="str">
        <f>IF(TITLE_DATE_PR_CHANGE="",IF(TITLE_DATE_PR="","",TITLE_DATE_PR),TITLE_DATE_PR_CHANGE)</f>
        <v>45631.710694444446</v>
      </c>
      <c r="AR28" s="7896"/>
      <c r="AS28" s="7896"/>
      <c r="AT28" s="7896"/>
      <c r="AU28" s="7896"/>
      <c r="AV28" s="7896"/>
      <c r="AW28" s="7684"/>
      <c r="AX28" s="7896" t="str">
        <f>IF(TITLE_DATE_PR_CHANGE="",IF(TITLE_DATE_PR="","",TITLE_DATE_PR),TITLE_DATE_PR_CHANGE)</f>
        <v>45631.710694444446</v>
      </c>
      <c r="AY28" s="7896"/>
      <c r="AZ28" s="7896"/>
      <c r="BA28" s="7896"/>
      <c r="BB28" s="7896"/>
      <c r="BC28" s="7896"/>
      <c r="BD28" s="7684"/>
      <c r="BE28" s="7896" t="str">
        <f>IF(TITLE_DATE_PR_CHANGE="",IF(TITLE_DATE_PR="","",TITLE_DATE_PR),TITLE_DATE_PR_CHANGE)</f>
        <v>45631.710694444446</v>
      </c>
      <c r="BF28" s="7896"/>
      <c r="BG28" s="7896"/>
      <c r="BH28" s="7896"/>
      <c r="BI28" s="7896"/>
      <c r="BJ28" s="7896"/>
      <c r="BK28" s="7684"/>
      <c r="BL28" s="7896" t="str">
        <f>IF(TITLE_DATE_PR_CHANGE="",IF(TITLE_DATE_PR="","",TITLE_DATE_PR),TITLE_DATE_PR_CHANGE)</f>
        <v>45631.710694444446</v>
      </c>
      <c r="BM28" s="7896"/>
      <c r="BN28" s="7896"/>
      <c r="BO28" s="7896"/>
      <c r="BP28" s="7896"/>
      <c r="BQ28" s="7896"/>
      <c r="BR28" s="7684"/>
      <c r="BS28" s="7896" t="str">
        <f>IF(TITLE_DATE_PR_CHANGE="",IF(TITLE_DATE_PR="","",TITLE_DATE_PR),TITLE_DATE_PR_CHANGE)</f>
        <v>45631.710694444446</v>
      </c>
      <c r="BT28" s="7896"/>
      <c r="BU28" s="7896"/>
      <c r="BV28" s="7896"/>
      <c r="BW28" s="7896"/>
      <c r="BX28" s="7896"/>
      <c r="BY28" s="7684"/>
      <c r="BZ28" s="7896" t="str">
        <f>IF(TITLE_DATE_PR_CHANGE="",IF(TITLE_DATE_PR="","",TITLE_DATE_PR),TITLE_DATE_PR_CHANGE)</f>
        <v>45631.710694444446</v>
      </c>
      <c r="CA28" s="7896"/>
      <c r="CB28" s="7896"/>
      <c r="CC28" s="7896"/>
      <c r="CD28" s="7896"/>
      <c r="CE28" s="7896"/>
      <c r="CF28" s="7684"/>
      <c r="CG28" s="7896" t="str">
        <f>IF(TITLE_DATE_PR_CHANGE="",IF(TITLE_DATE_PR="","",TITLE_DATE_PR),TITLE_DATE_PR_CHANGE)</f>
        <v>45631.710694444446</v>
      </c>
      <c r="CH28" s="7896"/>
      <c r="CI28" s="7896"/>
      <c r="CJ28" s="7896"/>
      <c r="CK28" s="7896"/>
      <c r="CL28" s="7896"/>
      <c r="CM28" s="7684"/>
      <c r="CN28" s="21278" t="str">
        <f>IF(TITLE_DATE_PR_CHANGE="",IF(TITLE_DATE_PR="","",TITLE_DATE_PR),TITLE_DATE_PR_CHANGE)</f>
        <v>45631.710694444446</v>
      </c>
      <c r="CO28" s="21278"/>
      <c r="CP28" s="21278"/>
      <c r="CQ28" s="21278"/>
      <c r="CR28" s="21278"/>
      <c r="CS28" s="21278"/>
      <c r="CT28" s="21020"/>
      <c r="CU28" s="838"/>
      <c r="CV28" s="792"/>
      <c r="CW28" s="880"/>
      <c r="CX28" s="880"/>
      <c r="CY28" s="880"/>
      <c r="CZ28" s="880"/>
      <c r="DA28" s="880"/>
      <c r="DB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7895" t="str">
        <f>IF(TITLE_NUMBER_PR_CHANGE="",IF(TITLE_NUMBER_PR="","",TITLE_NUMBER_PR),TITLE_NUMBER_PR_CHANGE)</f>
        <v>53/9</v>
      </c>
      <c r="AK29" s="7895"/>
      <c r="AL29" s="7895"/>
      <c r="AM29" s="7895"/>
      <c r="AN29" s="7895"/>
      <c r="AO29" s="7895"/>
      <c r="AP29" s="7684"/>
      <c r="AQ29" s="7895" t="str">
        <f>IF(TITLE_NUMBER_PR_CHANGE="",IF(TITLE_NUMBER_PR="","",TITLE_NUMBER_PR),TITLE_NUMBER_PR_CHANGE)</f>
        <v>53/9</v>
      </c>
      <c r="AR29" s="7895"/>
      <c r="AS29" s="7895"/>
      <c r="AT29" s="7895"/>
      <c r="AU29" s="7895"/>
      <c r="AV29" s="7895"/>
      <c r="AW29" s="7684"/>
      <c r="AX29" s="7895" t="str">
        <f>IF(TITLE_NUMBER_PR_CHANGE="",IF(TITLE_NUMBER_PR="","",TITLE_NUMBER_PR),TITLE_NUMBER_PR_CHANGE)</f>
        <v>53/9</v>
      </c>
      <c r="AY29" s="7895"/>
      <c r="AZ29" s="7895"/>
      <c r="BA29" s="7895"/>
      <c r="BB29" s="7895"/>
      <c r="BC29" s="7895"/>
      <c r="BD29" s="7684"/>
      <c r="BE29" s="7895" t="str">
        <f>IF(TITLE_NUMBER_PR_CHANGE="",IF(TITLE_NUMBER_PR="","",TITLE_NUMBER_PR),TITLE_NUMBER_PR_CHANGE)</f>
        <v>53/9</v>
      </c>
      <c r="BF29" s="7895"/>
      <c r="BG29" s="7895"/>
      <c r="BH29" s="7895"/>
      <c r="BI29" s="7895"/>
      <c r="BJ29" s="7895"/>
      <c r="BK29" s="7684"/>
      <c r="BL29" s="7895" t="str">
        <f>IF(TITLE_NUMBER_PR_CHANGE="",IF(TITLE_NUMBER_PR="","",TITLE_NUMBER_PR),TITLE_NUMBER_PR_CHANGE)</f>
        <v>53/9</v>
      </c>
      <c r="BM29" s="7895"/>
      <c r="BN29" s="7895"/>
      <c r="BO29" s="7895"/>
      <c r="BP29" s="7895"/>
      <c r="BQ29" s="7895"/>
      <c r="BR29" s="7684"/>
      <c r="BS29" s="7895" t="str">
        <f>IF(TITLE_NUMBER_PR_CHANGE="",IF(TITLE_NUMBER_PR="","",TITLE_NUMBER_PR),TITLE_NUMBER_PR_CHANGE)</f>
        <v>53/9</v>
      </c>
      <c r="BT29" s="7895"/>
      <c r="BU29" s="7895"/>
      <c r="BV29" s="7895"/>
      <c r="BW29" s="7895"/>
      <c r="BX29" s="7895"/>
      <c r="BY29" s="7684"/>
      <c r="BZ29" s="7895" t="str">
        <f>IF(TITLE_NUMBER_PR_CHANGE="",IF(TITLE_NUMBER_PR="","",TITLE_NUMBER_PR),TITLE_NUMBER_PR_CHANGE)</f>
        <v>53/9</v>
      </c>
      <c r="CA29" s="7895"/>
      <c r="CB29" s="7895"/>
      <c r="CC29" s="7895"/>
      <c r="CD29" s="7895"/>
      <c r="CE29" s="7895"/>
      <c r="CF29" s="7684"/>
      <c r="CG29" s="7895" t="str">
        <f>IF(TITLE_NUMBER_PR_CHANGE="",IF(TITLE_NUMBER_PR="","",TITLE_NUMBER_PR),TITLE_NUMBER_PR_CHANGE)</f>
        <v>53/9</v>
      </c>
      <c r="CH29" s="7895"/>
      <c r="CI29" s="7895"/>
      <c r="CJ29" s="7895"/>
      <c r="CK29" s="7895"/>
      <c r="CL29" s="7895"/>
      <c r="CM29" s="7684"/>
      <c r="CN29" s="21276" t="str">
        <f>IF(TITLE_NUMBER_PR_CHANGE="",IF(TITLE_NUMBER_PR="","",TITLE_NUMBER_PR),TITLE_NUMBER_PR_CHANGE)</f>
        <v>53/9</v>
      </c>
      <c r="CO29" s="21276"/>
      <c r="CP29" s="21276"/>
      <c r="CQ29" s="21276"/>
      <c r="CR29" s="21276"/>
      <c r="CS29" s="21276"/>
      <c r="CT29" s="21020"/>
      <c r="CU29" s="838"/>
      <c r="CV29" s="792"/>
      <c r="CW29" s="880"/>
      <c r="CX29" s="880"/>
      <c r="CY29" s="880"/>
      <c r="CZ29" s="880"/>
      <c r="DA29" s="880"/>
      <c r="DB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7895" t="str">
        <f>IF(TITLE_IST_PUB_CHANGE="",IF(TITLE_IST_PUB="","",TITLE_IST_PUB),TITLE_IST_PUB_CHANGE)</f>
        <v>http://pravo.gov.ru</v>
      </c>
      <c r="AK30" s="7895"/>
      <c r="AL30" s="7895"/>
      <c r="AM30" s="7895"/>
      <c r="AN30" s="7895"/>
      <c r="AO30" s="7895"/>
      <c r="AP30" s="7684"/>
      <c r="AQ30" s="7895" t="str">
        <f>IF(TITLE_IST_PUB_CHANGE="",IF(TITLE_IST_PUB="","",TITLE_IST_PUB),TITLE_IST_PUB_CHANGE)</f>
        <v>http://pravo.gov.ru</v>
      </c>
      <c r="AR30" s="7895"/>
      <c r="AS30" s="7895"/>
      <c r="AT30" s="7895"/>
      <c r="AU30" s="7895"/>
      <c r="AV30" s="7895"/>
      <c r="AW30" s="7684"/>
      <c r="AX30" s="7895" t="str">
        <f>IF(TITLE_IST_PUB_CHANGE="",IF(TITLE_IST_PUB="","",TITLE_IST_PUB),TITLE_IST_PUB_CHANGE)</f>
        <v>http://pravo.gov.ru</v>
      </c>
      <c r="AY30" s="7895"/>
      <c r="AZ30" s="7895"/>
      <c r="BA30" s="7895"/>
      <c r="BB30" s="7895"/>
      <c r="BC30" s="7895"/>
      <c r="BD30" s="7684"/>
      <c r="BE30" s="7895" t="str">
        <f>IF(TITLE_IST_PUB_CHANGE="",IF(TITLE_IST_PUB="","",TITLE_IST_PUB),TITLE_IST_PUB_CHANGE)</f>
        <v>http://pravo.gov.ru</v>
      </c>
      <c r="BF30" s="7895"/>
      <c r="BG30" s="7895"/>
      <c r="BH30" s="7895"/>
      <c r="BI30" s="7895"/>
      <c r="BJ30" s="7895"/>
      <c r="BK30" s="7684"/>
      <c r="BL30" s="7895" t="str">
        <f>IF(TITLE_IST_PUB_CHANGE="",IF(TITLE_IST_PUB="","",TITLE_IST_PUB),TITLE_IST_PUB_CHANGE)</f>
        <v>http://pravo.gov.ru</v>
      </c>
      <c r="BM30" s="7895"/>
      <c r="BN30" s="7895"/>
      <c r="BO30" s="7895"/>
      <c r="BP30" s="7895"/>
      <c r="BQ30" s="7895"/>
      <c r="BR30" s="7684"/>
      <c r="BS30" s="7895" t="str">
        <f>IF(TITLE_IST_PUB_CHANGE="",IF(TITLE_IST_PUB="","",TITLE_IST_PUB),TITLE_IST_PUB_CHANGE)</f>
        <v>http://pravo.gov.ru</v>
      </c>
      <c r="BT30" s="7895"/>
      <c r="BU30" s="7895"/>
      <c r="BV30" s="7895"/>
      <c r="BW30" s="7895"/>
      <c r="BX30" s="7895"/>
      <c r="BY30" s="7684"/>
      <c r="BZ30" s="7895" t="str">
        <f>IF(TITLE_IST_PUB_CHANGE="",IF(TITLE_IST_PUB="","",TITLE_IST_PUB),TITLE_IST_PUB_CHANGE)</f>
        <v>http://pravo.gov.ru</v>
      </c>
      <c r="CA30" s="7895"/>
      <c r="CB30" s="7895"/>
      <c r="CC30" s="7895"/>
      <c r="CD30" s="7895"/>
      <c r="CE30" s="7895"/>
      <c r="CF30" s="7684"/>
      <c r="CG30" s="7895" t="str">
        <f>IF(TITLE_IST_PUB_CHANGE="",IF(TITLE_IST_PUB="","",TITLE_IST_PUB),TITLE_IST_PUB_CHANGE)</f>
        <v>http://pravo.gov.ru</v>
      </c>
      <c r="CH30" s="7895"/>
      <c r="CI30" s="7895"/>
      <c r="CJ30" s="7895"/>
      <c r="CK30" s="7895"/>
      <c r="CL30" s="7895"/>
      <c r="CM30" s="7684"/>
      <c r="CN30" s="21276" t="str">
        <f>IF(TITLE_IST_PUB_CHANGE="",IF(TITLE_IST_PUB="","",TITLE_IST_PUB),TITLE_IST_PUB_CHANGE)</f>
        <v>http://pravo.gov.ru</v>
      </c>
      <c r="CO30" s="21276"/>
      <c r="CP30" s="21276"/>
      <c r="CQ30" s="21276"/>
      <c r="CR30" s="21276"/>
      <c r="CS30" s="21276"/>
      <c r="CT30" s="21020"/>
      <c r="CU30" s="838"/>
      <c r="CV30" s="792"/>
      <c r="CW30" s="880"/>
      <c r="CX30" s="880"/>
      <c r="CY30" s="880"/>
      <c r="CZ30" s="880"/>
      <c r="DA30" s="880"/>
      <c r="DB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7894"/>
      <c r="AK31" s="7894"/>
      <c r="AL31" s="7894"/>
      <c r="AM31" s="7894"/>
      <c r="AN31" s="7894"/>
      <c r="AO31" s="7894"/>
      <c r="AP31" s="7894"/>
      <c r="AQ31" s="7894"/>
      <c r="AR31" s="7894"/>
      <c r="AS31" s="7894"/>
      <c r="AT31" s="7894"/>
      <c r="AU31" s="7894"/>
      <c r="AV31" s="7894"/>
      <c r="AW31" s="7894"/>
      <c r="AX31" s="7894"/>
      <c r="AY31" s="7894"/>
      <c r="AZ31" s="7894"/>
      <c r="BA31" s="7894"/>
      <c r="BB31" s="7894"/>
      <c r="BC31" s="7894"/>
      <c r="BD31" s="7894"/>
      <c r="BE31" s="7894"/>
      <c r="BF31" s="7894"/>
      <c r="BG31" s="7894"/>
      <c r="BH31" s="7894"/>
      <c r="BI31" s="7894"/>
      <c r="BJ31" s="7894"/>
      <c r="BK31" s="7894"/>
      <c r="BL31" s="7894"/>
      <c r="BM31" s="7894"/>
      <c r="BN31" s="7894"/>
      <c r="BO31" s="7894"/>
      <c r="BP31" s="7894"/>
      <c r="BQ31" s="7894"/>
      <c r="BR31" s="7894"/>
      <c r="BS31" s="7894"/>
      <c r="BT31" s="7894"/>
      <c r="BU31" s="7894"/>
      <c r="BV31" s="7894"/>
      <c r="BW31" s="7894"/>
      <c r="BX31" s="7894"/>
      <c r="BY31" s="7894"/>
      <c r="BZ31" s="7894"/>
      <c r="CA31" s="7894"/>
      <c r="CB31" s="7894"/>
      <c r="CC31" s="7894"/>
      <c r="CD31" s="7894"/>
      <c r="CE31" s="7894"/>
      <c r="CF31" s="7894"/>
      <c r="CG31" s="7894"/>
      <c r="CH31" s="7894"/>
      <c r="CI31" s="7894"/>
      <c r="CJ31" s="7894"/>
      <c r="CK31" s="7894"/>
      <c r="CL31" s="7894"/>
      <c r="CM31" s="7894"/>
      <c r="CN31" s="21274"/>
      <c r="CO31" s="21274"/>
      <c r="CP31" s="21274"/>
      <c r="CQ31" s="21274"/>
      <c r="CR31" s="21274"/>
      <c r="CS31" s="21274"/>
      <c r="CT31" s="21274"/>
      <c r="CU31" s="1021"/>
      <c r="DB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7896" t="str">
        <f>IF(TITLE_DATE_PR_CHANGE="",IF(TITLE_DATE_PR="","",TITLE_DATE_PR),TITLE_DATE_PR_CHANGE)</f>
        <v>45631.710694444446</v>
      </c>
      <c r="AK32" s="7896"/>
      <c r="AL32" s="7896"/>
      <c r="AM32" s="7896"/>
      <c r="AN32" s="7896"/>
      <c r="AO32" s="7896"/>
      <c r="AP32" s="7684"/>
      <c r="AQ32" s="7896" t="str">
        <f>IF(TITLE_DATE_PR_CHANGE="",IF(TITLE_DATE_PR="","",TITLE_DATE_PR),TITLE_DATE_PR_CHANGE)</f>
        <v>45631.710694444446</v>
      </c>
      <c r="AR32" s="7896"/>
      <c r="AS32" s="7896"/>
      <c r="AT32" s="7896"/>
      <c r="AU32" s="7896"/>
      <c r="AV32" s="7896"/>
      <c r="AW32" s="7684"/>
      <c r="AX32" s="7896" t="str">
        <f>IF(TITLE_DATE_PR_CHANGE="",IF(TITLE_DATE_PR="","",TITLE_DATE_PR),TITLE_DATE_PR_CHANGE)</f>
        <v>45631.710694444446</v>
      </c>
      <c r="AY32" s="7896"/>
      <c r="AZ32" s="7896"/>
      <c r="BA32" s="7896"/>
      <c r="BB32" s="7896"/>
      <c r="BC32" s="7896"/>
      <c r="BD32" s="7684"/>
      <c r="BE32" s="7896" t="str">
        <f>IF(TITLE_DATE_PR_CHANGE="",IF(TITLE_DATE_PR="","",TITLE_DATE_PR),TITLE_DATE_PR_CHANGE)</f>
        <v>45631.710694444446</v>
      </c>
      <c r="BF32" s="7896"/>
      <c r="BG32" s="7896"/>
      <c r="BH32" s="7896"/>
      <c r="BI32" s="7896"/>
      <c r="BJ32" s="7896"/>
      <c r="BK32" s="7684"/>
      <c r="BL32" s="7896" t="str">
        <f>IF(TITLE_DATE_PR_CHANGE="",IF(TITLE_DATE_PR="","",TITLE_DATE_PR),TITLE_DATE_PR_CHANGE)</f>
        <v>45631.710694444446</v>
      </c>
      <c r="BM32" s="7896"/>
      <c r="BN32" s="7896"/>
      <c r="BO32" s="7896"/>
      <c r="BP32" s="7896"/>
      <c r="BQ32" s="7896"/>
      <c r="BR32" s="7684"/>
      <c r="BS32" s="7896" t="str">
        <f>IF(TITLE_DATE_PR_CHANGE="",IF(TITLE_DATE_PR="","",TITLE_DATE_PR),TITLE_DATE_PR_CHANGE)</f>
        <v>45631.710694444446</v>
      </c>
      <c r="BT32" s="7896"/>
      <c r="BU32" s="7896"/>
      <c r="BV32" s="7896"/>
      <c r="BW32" s="7896"/>
      <c r="BX32" s="7896"/>
      <c r="BY32" s="7684"/>
      <c r="BZ32" s="7896" t="str">
        <f>IF(TITLE_DATE_PR_CHANGE="",IF(TITLE_DATE_PR="","",TITLE_DATE_PR),TITLE_DATE_PR_CHANGE)</f>
        <v>45631.710694444446</v>
      </c>
      <c r="CA32" s="7896"/>
      <c r="CB32" s="7896"/>
      <c r="CC32" s="7896"/>
      <c r="CD32" s="7896"/>
      <c r="CE32" s="7896"/>
      <c r="CF32" s="7684"/>
      <c r="CG32" s="7896" t="str">
        <f>IF(TITLE_DATE_PR_CHANGE="",IF(TITLE_DATE_PR="","",TITLE_DATE_PR),TITLE_DATE_PR_CHANGE)</f>
        <v>45631.710694444446</v>
      </c>
      <c r="CH32" s="7896"/>
      <c r="CI32" s="7896"/>
      <c r="CJ32" s="7896"/>
      <c r="CK32" s="7896"/>
      <c r="CL32" s="7896"/>
      <c r="CM32" s="7684"/>
      <c r="CN32" s="21278" t="str">
        <f>IF(TITLE_DATE_PR_CHANGE="",IF(TITLE_DATE_PR="","",TITLE_DATE_PR),TITLE_DATE_PR_CHANGE)</f>
        <v>45631.710694444446</v>
      </c>
      <c r="CO32" s="21278"/>
      <c r="CP32" s="21278"/>
      <c r="CQ32" s="21278"/>
      <c r="CR32" s="21278"/>
      <c r="CS32" s="21278"/>
      <c r="CT32" s="21020"/>
      <c r="CU32" s="838"/>
      <c r="CV32" s="792"/>
      <c r="CW32" s="880"/>
      <c r="CX32" s="880"/>
      <c r="CY32" s="880"/>
      <c r="CZ32" s="880"/>
      <c r="DA32" s="880"/>
      <c r="DB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7895" t="str">
        <f>IF(TITLE_NUMBER_PR_CHANGE="",IF(TITLE_NUMBER_PR="","",TITLE_NUMBER_PR),TITLE_NUMBER_PR_CHANGE)</f>
        <v>53/9</v>
      </c>
      <c r="AK33" s="7895"/>
      <c r="AL33" s="7895"/>
      <c r="AM33" s="7895"/>
      <c r="AN33" s="7895"/>
      <c r="AO33" s="7895"/>
      <c r="AP33" s="7684"/>
      <c r="AQ33" s="7895" t="str">
        <f>IF(TITLE_NUMBER_PR_CHANGE="",IF(TITLE_NUMBER_PR="","",TITLE_NUMBER_PR),TITLE_NUMBER_PR_CHANGE)</f>
        <v>53/9</v>
      </c>
      <c r="AR33" s="7895"/>
      <c r="AS33" s="7895"/>
      <c r="AT33" s="7895"/>
      <c r="AU33" s="7895"/>
      <c r="AV33" s="7895"/>
      <c r="AW33" s="7684"/>
      <c r="AX33" s="7895" t="str">
        <f>IF(TITLE_NUMBER_PR_CHANGE="",IF(TITLE_NUMBER_PR="","",TITLE_NUMBER_PR),TITLE_NUMBER_PR_CHANGE)</f>
        <v>53/9</v>
      </c>
      <c r="AY33" s="7895"/>
      <c r="AZ33" s="7895"/>
      <c r="BA33" s="7895"/>
      <c r="BB33" s="7895"/>
      <c r="BC33" s="7895"/>
      <c r="BD33" s="7684"/>
      <c r="BE33" s="7895" t="str">
        <f>IF(TITLE_NUMBER_PR_CHANGE="",IF(TITLE_NUMBER_PR="","",TITLE_NUMBER_PR),TITLE_NUMBER_PR_CHANGE)</f>
        <v>53/9</v>
      </c>
      <c r="BF33" s="7895"/>
      <c r="BG33" s="7895"/>
      <c r="BH33" s="7895"/>
      <c r="BI33" s="7895"/>
      <c r="BJ33" s="7895"/>
      <c r="BK33" s="7684"/>
      <c r="BL33" s="7895" t="str">
        <f>IF(TITLE_NUMBER_PR_CHANGE="",IF(TITLE_NUMBER_PR="","",TITLE_NUMBER_PR),TITLE_NUMBER_PR_CHANGE)</f>
        <v>53/9</v>
      </c>
      <c r="BM33" s="7895"/>
      <c r="BN33" s="7895"/>
      <c r="BO33" s="7895"/>
      <c r="BP33" s="7895"/>
      <c r="BQ33" s="7895"/>
      <c r="BR33" s="7684"/>
      <c r="BS33" s="7895" t="str">
        <f>IF(TITLE_NUMBER_PR_CHANGE="",IF(TITLE_NUMBER_PR="","",TITLE_NUMBER_PR),TITLE_NUMBER_PR_CHANGE)</f>
        <v>53/9</v>
      </c>
      <c r="BT33" s="7895"/>
      <c r="BU33" s="7895"/>
      <c r="BV33" s="7895"/>
      <c r="BW33" s="7895"/>
      <c r="BX33" s="7895"/>
      <c r="BY33" s="7684"/>
      <c r="BZ33" s="7895" t="str">
        <f>IF(TITLE_NUMBER_PR_CHANGE="",IF(TITLE_NUMBER_PR="","",TITLE_NUMBER_PR),TITLE_NUMBER_PR_CHANGE)</f>
        <v>53/9</v>
      </c>
      <c r="CA33" s="7895"/>
      <c r="CB33" s="7895"/>
      <c r="CC33" s="7895"/>
      <c r="CD33" s="7895"/>
      <c r="CE33" s="7895"/>
      <c r="CF33" s="7684"/>
      <c r="CG33" s="7895" t="str">
        <f>IF(TITLE_NUMBER_PR_CHANGE="",IF(TITLE_NUMBER_PR="","",TITLE_NUMBER_PR),TITLE_NUMBER_PR_CHANGE)</f>
        <v>53/9</v>
      </c>
      <c r="CH33" s="7895"/>
      <c r="CI33" s="7895"/>
      <c r="CJ33" s="7895"/>
      <c r="CK33" s="7895"/>
      <c r="CL33" s="7895"/>
      <c r="CM33" s="7684"/>
      <c r="CN33" s="21276" t="str">
        <f>IF(TITLE_NUMBER_PR_CHANGE="",IF(TITLE_NUMBER_PR="","",TITLE_NUMBER_PR),TITLE_NUMBER_PR_CHANGE)</f>
        <v>53/9</v>
      </c>
      <c r="CO33" s="21276"/>
      <c r="CP33" s="21276"/>
      <c r="CQ33" s="21276"/>
      <c r="CR33" s="21276"/>
      <c r="CS33" s="21276"/>
      <c r="CT33" s="21020"/>
      <c r="CU33" s="838"/>
      <c r="CV33" s="792"/>
      <c r="CW33" s="880"/>
      <c r="CX33" s="880"/>
      <c r="CY33" s="880"/>
      <c r="CZ33" s="880"/>
      <c r="DA33" s="880"/>
      <c r="DB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1867"/>
      <c r="V34" s="838"/>
      <c r="W34" s="838"/>
      <c r="X34" s="838"/>
      <c r="Y34" s="838"/>
      <c r="Z34" s="838"/>
      <c r="AA34" s="838"/>
      <c r="AB34" s="790" t="s">
        <v>564</v>
      </c>
      <c r="AC34" s="838"/>
      <c r="AD34" s="838"/>
      <c r="AE34" s="838"/>
      <c r="AF34" s="838"/>
      <c r="AG34" s="838"/>
      <c r="AH34" s="838"/>
      <c r="AI34" s="790" t="s">
        <v>564</v>
      </c>
      <c r="AJ34" s="7684"/>
      <c r="AK34" s="7684"/>
      <c r="AL34" s="7684"/>
      <c r="AM34" s="7684"/>
      <c r="AN34" s="7684"/>
      <c r="AO34" s="7684"/>
      <c r="AP34" s="7898" t="s">
        <v>564</v>
      </c>
      <c r="AQ34" s="7684"/>
      <c r="AR34" s="7684"/>
      <c r="AS34" s="7684"/>
      <c r="AT34" s="7684"/>
      <c r="AU34" s="7684"/>
      <c r="AV34" s="7684"/>
      <c r="AW34" s="7898" t="s">
        <v>564</v>
      </c>
      <c r="AX34" s="7684"/>
      <c r="AY34" s="7684"/>
      <c r="AZ34" s="7684"/>
      <c r="BA34" s="7684"/>
      <c r="BB34" s="7684"/>
      <c r="BC34" s="7684"/>
      <c r="BD34" s="7898" t="s">
        <v>564</v>
      </c>
      <c r="BE34" s="7684"/>
      <c r="BF34" s="7684"/>
      <c r="BG34" s="7684"/>
      <c r="BH34" s="7684"/>
      <c r="BI34" s="7684"/>
      <c r="BJ34" s="7684"/>
      <c r="BK34" s="7898" t="s">
        <v>564</v>
      </c>
      <c r="BL34" s="7684"/>
      <c r="BM34" s="7684"/>
      <c r="BN34" s="7684"/>
      <c r="BO34" s="7684"/>
      <c r="BP34" s="7684"/>
      <c r="BQ34" s="7684"/>
      <c r="BR34" s="7898" t="s">
        <v>564</v>
      </c>
      <c r="BS34" s="7684"/>
      <c r="BT34" s="7684"/>
      <c r="BU34" s="7684"/>
      <c r="BV34" s="7684"/>
      <c r="BW34" s="7684"/>
      <c r="BX34" s="7684"/>
      <c r="BY34" s="7898" t="s">
        <v>564</v>
      </c>
      <c r="BZ34" s="7684"/>
      <c r="CA34" s="7684"/>
      <c r="CB34" s="7684"/>
      <c r="CC34" s="7684"/>
      <c r="CD34" s="7684"/>
      <c r="CE34" s="7684"/>
      <c r="CF34" s="7898" t="s">
        <v>564</v>
      </c>
      <c r="CG34" s="7684"/>
      <c r="CH34" s="7684"/>
      <c r="CI34" s="7684"/>
      <c r="CJ34" s="7684"/>
      <c r="CK34" s="7684"/>
      <c r="CL34" s="7684"/>
      <c r="CM34" s="7898" t="s">
        <v>564</v>
      </c>
      <c r="CN34" s="21020"/>
      <c r="CO34" s="21020"/>
      <c r="CP34" s="21020"/>
      <c r="CQ34" s="21020"/>
      <c r="CR34" s="21020"/>
      <c r="CS34" s="21020"/>
      <c r="CT34" s="21281" t="s">
        <v>564</v>
      </c>
      <c r="CW34" s="880"/>
      <c r="CX34" s="880"/>
      <c r="CY34" s="880"/>
      <c r="CZ34" s="880"/>
      <c r="DA34" s="880"/>
      <c r="DB34" s="930">
        <v>1</v>
      </c>
    </row>
    <row customHeight="1" ht="5.8570098876953125">
      <c r="Q35" s="888"/>
      <c r="R35" s="888"/>
      <c r="S35" s="1787"/>
      <c r="T35" s="875"/>
      <c r="U35" s="1756"/>
      <c r="V35" s="2764"/>
      <c r="W35" s="2764"/>
      <c r="X35" s="2764"/>
      <c r="Y35" s="2764"/>
      <c r="Z35" s="2764"/>
      <c r="AA35" s="2764"/>
      <c r="AB35" s="2764"/>
      <c r="AC35" s="2764"/>
      <c r="AD35" s="2764"/>
      <c r="AE35" s="2764"/>
      <c r="AF35" s="2764"/>
      <c r="AG35" s="2764"/>
      <c r="AH35" s="2764"/>
      <c r="AI35" s="2764"/>
      <c r="AJ35" s="7899" t="s">
        <v>106</v>
      </c>
      <c r="AK35" s="7899"/>
      <c r="AL35" s="7899"/>
      <c r="AM35" s="7899"/>
      <c r="AN35" s="7899"/>
      <c r="AO35" s="7899"/>
      <c r="AP35" s="7899"/>
      <c r="AQ35" s="7899" t="s">
        <v>106</v>
      </c>
      <c r="AR35" s="7899"/>
      <c r="AS35" s="7899"/>
      <c r="AT35" s="7899"/>
      <c r="AU35" s="7899"/>
      <c r="AV35" s="7899"/>
      <c r="AW35" s="7899"/>
      <c r="AX35" s="7899" t="s">
        <v>106</v>
      </c>
      <c r="AY35" s="7899"/>
      <c r="AZ35" s="7899"/>
      <c r="BA35" s="7899"/>
      <c r="BB35" s="7899"/>
      <c r="BC35" s="7899"/>
      <c r="BD35" s="7899"/>
      <c r="BE35" s="7899" t="s">
        <v>106</v>
      </c>
      <c r="BF35" s="7899"/>
      <c r="BG35" s="7899"/>
      <c r="BH35" s="7899"/>
      <c r="BI35" s="7899"/>
      <c r="BJ35" s="7899"/>
      <c r="BK35" s="7899"/>
      <c r="BL35" s="7899" t="s">
        <v>106</v>
      </c>
      <c r="BM35" s="7899"/>
      <c r="BN35" s="7899"/>
      <c r="BO35" s="7899"/>
      <c r="BP35" s="7899"/>
      <c r="BQ35" s="7899"/>
      <c r="BR35" s="7899"/>
      <c r="BS35" s="7899" t="s">
        <v>106</v>
      </c>
      <c r="BT35" s="7899"/>
      <c r="BU35" s="7899"/>
      <c r="BV35" s="7899"/>
      <c r="BW35" s="7899"/>
      <c r="BX35" s="7899"/>
      <c r="BY35" s="7899"/>
      <c r="BZ35" s="7899" t="s">
        <v>106</v>
      </c>
      <c r="CA35" s="7899"/>
      <c r="CB35" s="7899"/>
      <c r="CC35" s="7899"/>
      <c r="CD35" s="7899"/>
      <c r="CE35" s="7899"/>
      <c r="CF35" s="7899"/>
      <c r="CG35" s="7899" t="s">
        <v>106</v>
      </c>
      <c r="CH35" s="7899"/>
      <c r="CI35" s="7899"/>
      <c r="CJ35" s="7899"/>
      <c r="CK35" s="7899"/>
      <c r="CL35" s="7899"/>
      <c r="CM35" s="7899"/>
      <c r="CN35" s="21283" t="s">
        <v>106</v>
      </c>
      <c r="CO35" s="21283"/>
      <c r="CP35" s="21283"/>
      <c r="CQ35" s="21283"/>
      <c r="CR35" s="21283"/>
      <c r="CS35" s="21283"/>
      <c r="CT35" s="21283"/>
      <c r="DB35" s="1667">
        <v>14</v>
      </c>
    </row>
    <row customHeight="1" ht="0">
      <c r="Q36" s="888"/>
      <c r="R36" s="888"/>
      <c r="S36" s="2639" t="s">
        <v>439</v>
      </c>
      <c r="T36" s="2639"/>
      <c r="U36" s="2639"/>
      <c r="V36" s="2639"/>
      <c r="W36" s="2639"/>
      <c r="X36" s="2639"/>
      <c r="Y36" s="2639"/>
      <c r="Z36" s="2639"/>
      <c r="AA36" s="2639"/>
      <c r="AB36" s="2639"/>
      <c r="AC36" s="2639"/>
      <c r="AD36" s="2639"/>
      <c r="AE36" s="2639"/>
      <c r="AF36" s="2639"/>
      <c r="AG36" s="2639"/>
      <c r="AH36" s="2639"/>
      <c r="AI36" s="2639"/>
      <c r="AJ36" s="7900" t="s">
        <v>439</v>
      </c>
      <c r="AK36" s="7900"/>
      <c r="AL36" s="7900"/>
      <c r="AM36" s="7900"/>
      <c r="AN36" s="7900"/>
      <c r="AO36" s="7900"/>
      <c r="AP36" s="7900"/>
      <c r="AQ36" s="7900" t="s">
        <v>439</v>
      </c>
      <c r="AR36" s="7900"/>
      <c r="AS36" s="7900"/>
      <c r="AT36" s="7900"/>
      <c r="AU36" s="7900"/>
      <c r="AV36" s="7900"/>
      <c r="AW36" s="7900"/>
      <c r="AX36" s="7900" t="s">
        <v>439</v>
      </c>
      <c r="AY36" s="7900"/>
      <c r="AZ36" s="7900"/>
      <c r="BA36" s="7900"/>
      <c r="BB36" s="7900"/>
      <c r="BC36" s="7900"/>
      <c r="BD36" s="7900"/>
      <c r="BE36" s="7900" t="s">
        <v>439</v>
      </c>
      <c r="BF36" s="7900"/>
      <c r="BG36" s="7900"/>
      <c r="BH36" s="7900"/>
      <c r="BI36" s="7900"/>
      <c r="BJ36" s="7900"/>
      <c r="BK36" s="7900"/>
      <c r="BL36" s="7900" t="s">
        <v>439</v>
      </c>
      <c r="BM36" s="7900"/>
      <c r="BN36" s="7900"/>
      <c r="BO36" s="7900"/>
      <c r="BP36" s="7900"/>
      <c r="BQ36" s="7900"/>
      <c r="BR36" s="7900"/>
      <c r="BS36" s="7900" t="s">
        <v>439</v>
      </c>
      <c r="BT36" s="7900"/>
      <c r="BU36" s="7900"/>
      <c r="BV36" s="7900"/>
      <c r="BW36" s="7900"/>
      <c r="BX36" s="7900"/>
      <c r="BY36" s="7900"/>
      <c r="BZ36" s="7900" t="s">
        <v>439</v>
      </c>
      <c r="CA36" s="7900"/>
      <c r="CB36" s="7900"/>
      <c r="CC36" s="7900"/>
      <c r="CD36" s="7900"/>
      <c r="CE36" s="7900"/>
      <c r="CF36" s="7900"/>
      <c r="CG36" s="7900" t="s">
        <v>439</v>
      </c>
      <c r="CH36" s="7900"/>
      <c r="CI36" s="7900"/>
      <c r="CJ36" s="7900"/>
      <c r="CK36" s="7900"/>
      <c r="CL36" s="7900"/>
      <c r="CM36" s="7900"/>
      <c r="CN36" s="21285" t="s">
        <v>439</v>
      </c>
      <c r="CO36" s="21285"/>
      <c r="CP36" s="21285"/>
      <c r="CQ36" s="21285"/>
      <c r="CR36" s="21285"/>
      <c r="CS36" s="21285"/>
      <c r="CT36" s="21285"/>
      <c r="CU36" s="2639"/>
      <c r="CV36" s="2639"/>
      <c r="DB36" s="1667"/>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7901" t="s">
        <v>566</v>
      </c>
      <c r="AK37" s="7902"/>
      <c r="AL37" s="7902"/>
      <c r="AM37" s="7902"/>
      <c r="AN37" s="7902"/>
      <c r="AO37" s="7903"/>
      <c r="AP37" s="7904" t="s">
        <v>567</v>
      </c>
      <c r="AQ37" s="7901" t="s">
        <v>566</v>
      </c>
      <c r="AR37" s="7902"/>
      <c r="AS37" s="7902"/>
      <c r="AT37" s="7902"/>
      <c r="AU37" s="7902"/>
      <c r="AV37" s="7903"/>
      <c r="AW37" s="7904" t="s">
        <v>567</v>
      </c>
      <c r="AX37" s="7901" t="s">
        <v>566</v>
      </c>
      <c r="AY37" s="7902"/>
      <c r="AZ37" s="7902"/>
      <c r="BA37" s="7902"/>
      <c r="BB37" s="7902"/>
      <c r="BC37" s="7903"/>
      <c r="BD37" s="7904" t="s">
        <v>567</v>
      </c>
      <c r="BE37" s="7901" t="s">
        <v>566</v>
      </c>
      <c r="BF37" s="7902"/>
      <c r="BG37" s="7902"/>
      <c r="BH37" s="7902"/>
      <c r="BI37" s="7902"/>
      <c r="BJ37" s="7903"/>
      <c r="BK37" s="7904" t="s">
        <v>567</v>
      </c>
      <c r="BL37" s="7901" t="s">
        <v>566</v>
      </c>
      <c r="BM37" s="7902"/>
      <c r="BN37" s="7902"/>
      <c r="BO37" s="7902"/>
      <c r="BP37" s="7902"/>
      <c r="BQ37" s="7903"/>
      <c r="BR37" s="7904" t="s">
        <v>567</v>
      </c>
      <c r="BS37" s="7901" t="s">
        <v>566</v>
      </c>
      <c r="BT37" s="7902"/>
      <c r="BU37" s="7902"/>
      <c r="BV37" s="7902"/>
      <c r="BW37" s="7902"/>
      <c r="BX37" s="7903"/>
      <c r="BY37" s="7904" t="s">
        <v>567</v>
      </c>
      <c r="BZ37" s="7901" t="s">
        <v>566</v>
      </c>
      <c r="CA37" s="7902"/>
      <c r="CB37" s="7902"/>
      <c r="CC37" s="7902"/>
      <c r="CD37" s="7902"/>
      <c r="CE37" s="7903"/>
      <c r="CF37" s="7904" t="s">
        <v>567</v>
      </c>
      <c r="CG37" s="7901" t="s">
        <v>566</v>
      </c>
      <c r="CH37" s="7902"/>
      <c r="CI37" s="7902"/>
      <c r="CJ37" s="7902"/>
      <c r="CK37" s="7902"/>
      <c r="CL37" s="7903"/>
      <c r="CM37" s="7904" t="s">
        <v>567</v>
      </c>
      <c r="CN37" s="21290" t="s">
        <v>566</v>
      </c>
      <c r="CO37" s="21291"/>
      <c r="CP37" s="21291"/>
      <c r="CQ37" s="21291"/>
      <c r="CR37" s="21291"/>
      <c r="CS37" s="21292"/>
      <c r="CT37" s="21293" t="s">
        <v>567</v>
      </c>
      <c r="CU37" s="2792" t="s">
        <v>569</v>
      </c>
      <c r="CV37" s="2639"/>
      <c r="DB37" s="1667">
        <v>14</v>
      </c>
    </row>
    <row customHeight="1" ht="20.02367655436198">
      <c r="Q38" s="888"/>
      <c r="R38" s="888"/>
      <c r="S38" s="2785"/>
      <c r="T38" s="2721"/>
      <c r="U38" s="1543"/>
      <c r="V38" s="1864" t="s">
        <v>625</v>
      </c>
      <c r="W38" s="2774" t="s">
        <v>572</v>
      </c>
      <c r="X38" s="2775"/>
      <c r="Y38" s="2774" t="s">
        <v>573</v>
      </c>
      <c r="Z38" s="2781"/>
      <c r="AA38" s="2775"/>
      <c r="AB38" s="2790"/>
      <c r="AC38" s="1864" t="s">
        <v>625</v>
      </c>
      <c r="AD38" s="2774" t="s">
        <v>572</v>
      </c>
      <c r="AE38" s="2775"/>
      <c r="AF38" s="2774" t="s">
        <v>573</v>
      </c>
      <c r="AG38" s="2781"/>
      <c r="AH38" s="2775"/>
      <c r="AI38" s="2790"/>
      <c r="AJ38" s="7906" t="s">
        <v>625</v>
      </c>
      <c r="AK38" s="7907" t="s">
        <v>572</v>
      </c>
      <c r="AL38" s="7908"/>
      <c r="AM38" s="7907" t="s">
        <v>573</v>
      </c>
      <c r="AN38" s="7909"/>
      <c r="AO38" s="7908"/>
      <c r="AP38" s="7910"/>
      <c r="AQ38" s="7906" t="s">
        <v>625</v>
      </c>
      <c r="AR38" s="7907" t="s">
        <v>572</v>
      </c>
      <c r="AS38" s="7908"/>
      <c r="AT38" s="7907" t="s">
        <v>573</v>
      </c>
      <c r="AU38" s="7909"/>
      <c r="AV38" s="7908"/>
      <c r="AW38" s="7910"/>
      <c r="AX38" s="7906" t="s">
        <v>625</v>
      </c>
      <c r="AY38" s="7907" t="s">
        <v>572</v>
      </c>
      <c r="AZ38" s="7908"/>
      <c r="BA38" s="7907" t="s">
        <v>573</v>
      </c>
      <c r="BB38" s="7909"/>
      <c r="BC38" s="7908"/>
      <c r="BD38" s="7910"/>
      <c r="BE38" s="7906" t="s">
        <v>625</v>
      </c>
      <c r="BF38" s="7907" t="s">
        <v>572</v>
      </c>
      <c r="BG38" s="7908"/>
      <c r="BH38" s="7907" t="s">
        <v>573</v>
      </c>
      <c r="BI38" s="7909"/>
      <c r="BJ38" s="7908"/>
      <c r="BK38" s="7910"/>
      <c r="BL38" s="7906" t="s">
        <v>625</v>
      </c>
      <c r="BM38" s="7907" t="s">
        <v>572</v>
      </c>
      <c r="BN38" s="7908"/>
      <c r="BO38" s="7907" t="s">
        <v>573</v>
      </c>
      <c r="BP38" s="7909"/>
      <c r="BQ38" s="7908"/>
      <c r="BR38" s="7910"/>
      <c r="BS38" s="7906" t="s">
        <v>625</v>
      </c>
      <c r="BT38" s="7907" t="s">
        <v>572</v>
      </c>
      <c r="BU38" s="7908"/>
      <c r="BV38" s="7907" t="s">
        <v>573</v>
      </c>
      <c r="BW38" s="7909"/>
      <c r="BX38" s="7908"/>
      <c r="BY38" s="7910"/>
      <c r="BZ38" s="7906" t="s">
        <v>625</v>
      </c>
      <c r="CA38" s="7907" t="s">
        <v>572</v>
      </c>
      <c r="CB38" s="7908"/>
      <c r="CC38" s="7907" t="s">
        <v>573</v>
      </c>
      <c r="CD38" s="7909"/>
      <c r="CE38" s="7908"/>
      <c r="CF38" s="7910"/>
      <c r="CG38" s="7906" t="s">
        <v>625</v>
      </c>
      <c r="CH38" s="7907" t="s">
        <v>572</v>
      </c>
      <c r="CI38" s="7908"/>
      <c r="CJ38" s="7907" t="s">
        <v>573</v>
      </c>
      <c r="CK38" s="7909"/>
      <c r="CL38" s="7908"/>
      <c r="CM38" s="7910"/>
      <c r="CN38" s="21300" t="s">
        <v>625</v>
      </c>
      <c r="CO38" s="21301" t="s">
        <v>572</v>
      </c>
      <c r="CP38" s="21302"/>
      <c r="CQ38" s="21301" t="s">
        <v>573</v>
      </c>
      <c r="CR38" s="21303"/>
      <c r="CS38" s="21302"/>
      <c r="CT38" s="21304"/>
      <c r="CU38" s="2793"/>
      <c r="CV38" s="2639"/>
      <c r="DB38" s="1667">
        <v>34</v>
      </c>
    </row>
    <row customHeight="1" ht="35.699999999999996">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864" t="s">
        <v>628</v>
      </c>
      <c r="W39" s="1734" t="s">
        <v>629</v>
      </c>
      <c r="X39" s="1734" t="s">
        <v>630</v>
      </c>
      <c r="Y39" s="1869" t="s">
        <v>583</v>
      </c>
      <c r="Z39" s="2782" t="s">
        <v>584</v>
      </c>
      <c r="AA39" s="2783"/>
      <c r="AB39" s="2791"/>
      <c r="AC39" s="1864" t="s">
        <v>628</v>
      </c>
      <c r="AD39" s="1734" t="s">
        <v>629</v>
      </c>
      <c r="AE39" s="1734" t="s">
        <v>630</v>
      </c>
      <c r="AF39" s="1869" t="s">
        <v>583</v>
      </c>
      <c r="AG39" s="2782" t="s">
        <v>584</v>
      </c>
      <c r="AH39" s="2783"/>
      <c r="AI39" s="2791"/>
      <c r="AJ39" s="7906" t="s">
        <v>628</v>
      </c>
      <c r="AK39" s="7912" t="s">
        <v>629</v>
      </c>
      <c r="AL39" s="7912" t="s">
        <v>630</v>
      </c>
      <c r="AM39" s="7912" t="s">
        <v>583</v>
      </c>
      <c r="AN39" s="7913" t="s">
        <v>584</v>
      </c>
      <c r="AO39" s="7914"/>
      <c r="AP39" s="7915"/>
      <c r="AQ39" s="7906" t="s">
        <v>628</v>
      </c>
      <c r="AR39" s="7912" t="s">
        <v>629</v>
      </c>
      <c r="AS39" s="7912" t="s">
        <v>630</v>
      </c>
      <c r="AT39" s="7912" t="s">
        <v>583</v>
      </c>
      <c r="AU39" s="7913" t="s">
        <v>584</v>
      </c>
      <c r="AV39" s="7914"/>
      <c r="AW39" s="7915"/>
      <c r="AX39" s="7906" t="s">
        <v>628</v>
      </c>
      <c r="AY39" s="7912" t="s">
        <v>629</v>
      </c>
      <c r="AZ39" s="7912" t="s">
        <v>630</v>
      </c>
      <c r="BA39" s="7912" t="s">
        <v>583</v>
      </c>
      <c r="BB39" s="7913" t="s">
        <v>584</v>
      </c>
      <c r="BC39" s="7914"/>
      <c r="BD39" s="7915"/>
      <c r="BE39" s="7906" t="s">
        <v>628</v>
      </c>
      <c r="BF39" s="7912" t="s">
        <v>629</v>
      </c>
      <c r="BG39" s="7912" t="s">
        <v>630</v>
      </c>
      <c r="BH39" s="7912" t="s">
        <v>583</v>
      </c>
      <c r="BI39" s="7913" t="s">
        <v>584</v>
      </c>
      <c r="BJ39" s="7914"/>
      <c r="BK39" s="7915"/>
      <c r="BL39" s="7906" t="s">
        <v>628</v>
      </c>
      <c r="BM39" s="7912" t="s">
        <v>629</v>
      </c>
      <c r="BN39" s="7912" t="s">
        <v>630</v>
      </c>
      <c r="BO39" s="7912" t="s">
        <v>583</v>
      </c>
      <c r="BP39" s="7913" t="s">
        <v>584</v>
      </c>
      <c r="BQ39" s="7914"/>
      <c r="BR39" s="7915"/>
      <c r="BS39" s="7906" t="s">
        <v>628</v>
      </c>
      <c r="BT39" s="7912" t="s">
        <v>629</v>
      </c>
      <c r="BU39" s="7912" t="s">
        <v>630</v>
      </c>
      <c r="BV39" s="7912" t="s">
        <v>583</v>
      </c>
      <c r="BW39" s="7913" t="s">
        <v>584</v>
      </c>
      <c r="BX39" s="7914"/>
      <c r="BY39" s="7915"/>
      <c r="BZ39" s="7906" t="s">
        <v>628</v>
      </c>
      <c r="CA39" s="7912" t="s">
        <v>629</v>
      </c>
      <c r="CB39" s="7912" t="s">
        <v>630</v>
      </c>
      <c r="CC39" s="7912" t="s">
        <v>583</v>
      </c>
      <c r="CD39" s="7913" t="s">
        <v>584</v>
      </c>
      <c r="CE39" s="7914"/>
      <c r="CF39" s="7915"/>
      <c r="CG39" s="7906" t="s">
        <v>628</v>
      </c>
      <c r="CH39" s="7912" t="s">
        <v>629</v>
      </c>
      <c r="CI39" s="7912" t="s">
        <v>630</v>
      </c>
      <c r="CJ39" s="7912" t="s">
        <v>583</v>
      </c>
      <c r="CK39" s="7913" t="s">
        <v>584</v>
      </c>
      <c r="CL39" s="7914"/>
      <c r="CM39" s="7915"/>
      <c r="CN39" s="21300" t="s">
        <v>628</v>
      </c>
      <c r="CO39" s="21310" t="s">
        <v>629</v>
      </c>
      <c r="CP39" s="21310" t="s">
        <v>630</v>
      </c>
      <c r="CQ39" s="21310" t="s">
        <v>583</v>
      </c>
      <c r="CR39" s="21311" t="s">
        <v>584</v>
      </c>
      <c r="CS39" s="21312"/>
      <c r="CT39" s="21313"/>
      <c r="CU39" s="2794"/>
      <c r="CV39" s="2639"/>
      <c r="DB39" s="1667">
        <v>34</v>
      </c>
    </row>
    <row s="51564"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865">
        <f>OFFSET(V40,0,-1)+1</f>
        <v>3</v>
      </c>
      <c r="W40" s="1865">
        <f>OFFSET(W40,0,-1)+1</f>
        <v>4</v>
      </c>
      <c r="X40" s="1865">
        <f>OFFSET(X40,0,-1)+1</f>
        <v>5</v>
      </c>
      <c r="Y40" s="1865">
        <f>OFFSET(Y40,0,-1)+1</f>
        <v>6</v>
      </c>
      <c r="Z40" s="2784">
        <f>OFFSET(Z40,0,-1)+1</f>
        <v>7</v>
      </c>
      <c r="AA40" s="2784"/>
      <c r="AB40" s="1865">
        <f>OFFSET(AB40,0,-2)+1</f>
        <v>8</v>
      </c>
      <c r="AC40" s="1865">
        <f>OFFSET(AC40,0,-1)+1</f>
        <v>9</v>
      </c>
      <c r="AD40" s="1865">
        <f>OFFSET(AD40,0,-1)+1</f>
        <v>10</v>
      </c>
      <c r="AE40" s="1865">
        <f>OFFSET(AE40,0,-1)+1</f>
        <v>11</v>
      </c>
      <c r="AF40" s="1865">
        <f>OFFSET(AF40,0,-1)+1</f>
        <v>12</v>
      </c>
      <c r="AG40" s="2784">
        <f>OFFSET(AG40,0,-1)+1</f>
        <v>13</v>
      </c>
      <c r="AH40" s="2784"/>
      <c r="AI40" s="1865">
        <f>OFFSET(AI40,0,-2)+1</f>
        <v>14</v>
      </c>
      <c r="AJ40" s="7917">
        <f>OFFSET(AJ40,0,-1)+1</f>
        <v>15</v>
      </c>
      <c r="AK40" s="7917">
        <f>OFFSET(AK40,0,-1)+1</f>
        <v>16</v>
      </c>
      <c r="AL40" s="7917">
        <f>OFFSET(AL40,0,-1)+1</f>
        <v>17</v>
      </c>
      <c r="AM40" s="7917">
        <f>OFFSET(AM40,0,-1)+1</f>
        <v>18</v>
      </c>
      <c r="AN40" s="7917">
        <f>OFFSET(AN40,0,-1)+1</f>
        <v>19</v>
      </c>
      <c r="AO40" s="7917"/>
      <c r="AP40" s="7917">
        <f>OFFSET(AP40,0,-2)+1</f>
        <v>20</v>
      </c>
      <c r="AQ40" s="7917">
        <f>OFFSET(AQ40,0,-1)+1</f>
        <v>21</v>
      </c>
      <c r="AR40" s="7917">
        <f>OFFSET(AR40,0,-1)+1</f>
        <v>22</v>
      </c>
      <c r="AS40" s="7917">
        <f>OFFSET(AS40,0,-1)+1</f>
        <v>23</v>
      </c>
      <c r="AT40" s="7917">
        <f>OFFSET(AT40,0,-1)+1</f>
        <v>24</v>
      </c>
      <c r="AU40" s="7917">
        <f>OFFSET(AU40,0,-1)+1</f>
        <v>25</v>
      </c>
      <c r="AV40" s="7917"/>
      <c r="AW40" s="7917">
        <f>OFFSET(AW40,0,-2)+1</f>
        <v>26</v>
      </c>
      <c r="AX40" s="7917">
        <f>OFFSET(AX40,0,-1)+1</f>
        <v>27</v>
      </c>
      <c r="AY40" s="7917">
        <f>OFFSET(AY40,0,-1)+1</f>
        <v>28</v>
      </c>
      <c r="AZ40" s="7917">
        <f>OFFSET(AZ40,0,-1)+1</f>
        <v>29</v>
      </c>
      <c r="BA40" s="7917">
        <f>OFFSET(BA40,0,-1)+1</f>
        <v>30</v>
      </c>
      <c r="BB40" s="7917">
        <f>OFFSET(BB40,0,-1)+1</f>
        <v>31</v>
      </c>
      <c r="BC40" s="7917"/>
      <c r="BD40" s="7917">
        <f>OFFSET(BD40,0,-2)+1</f>
        <v>32</v>
      </c>
      <c r="BE40" s="7917">
        <f>OFFSET(BE40,0,-1)+1</f>
        <v>33</v>
      </c>
      <c r="BF40" s="7917">
        <f>OFFSET(BF40,0,-1)+1</f>
        <v>34</v>
      </c>
      <c r="BG40" s="7917">
        <f>OFFSET(BG40,0,-1)+1</f>
        <v>35</v>
      </c>
      <c r="BH40" s="7917">
        <f>OFFSET(BH40,0,-1)+1</f>
        <v>36</v>
      </c>
      <c r="BI40" s="7917">
        <f>OFFSET(BI40,0,-1)+1</f>
        <v>37</v>
      </c>
      <c r="BJ40" s="7917"/>
      <c r="BK40" s="7917">
        <f>OFFSET(BK40,0,-2)+1</f>
        <v>38</v>
      </c>
      <c r="BL40" s="7917">
        <f>OFFSET(BL40,0,-1)+1</f>
        <v>39</v>
      </c>
      <c r="BM40" s="7917">
        <f>OFFSET(BM40,0,-1)+1</f>
        <v>40</v>
      </c>
      <c r="BN40" s="7917">
        <f>OFFSET(BN40,0,-1)+1</f>
        <v>41</v>
      </c>
      <c r="BO40" s="7917">
        <f>OFFSET(BO40,0,-1)+1</f>
        <v>42</v>
      </c>
      <c r="BP40" s="7917">
        <f>OFFSET(BP40,0,-1)+1</f>
        <v>43</v>
      </c>
      <c r="BQ40" s="7917"/>
      <c r="BR40" s="7917">
        <f>OFFSET(BR40,0,-2)+1</f>
        <v>44</v>
      </c>
      <c r="BS40" s="7917">
        <f>OFFSET(BS40,0,-1)+1</f>
        <v>45</v>
      </c>
      <c r="BT40" s="7917">
        <f>OFFSET(BT40,0,-1)+1</f>
        <v>46</v>
      </c>
      <c r="BU40" s="7917">
        <f>OFFSET(BU40,0,-1)+1</f>
        <v>47</v>
      </c>
      <c r="BV40" s="7917">
        <f>OFFSET(BV40,0,-1)+1</f>
        <v>48</v>
      </c>
      <c r="BW40" s="7917">
        <f>OFFSET(BW40,0,-1)+1</f>
        <v>49</v>
      </c>
      <c r="BX40" s="7917"/>
      <c r="BY40" s="7917">
        <f>OFFSET(BY40,0,-2)+1</f>
        <v>50</v>
      </c>
      <c r="BZ40" s="7917">
        <f>OFFSET(BZ40,0,-1)+1</f>
        <v>51</v>
      </c>
      <c r="CA40" s="7917">
        <f>OFFSET(CA40,0,-1)+1</f>
        <v>52</v>
      </c>
      <c r="CB40" s="7917">
        <f>OFFSET(CB40,0,-1)+1</f>
        <v>53</v>
      </c>
      <c r="CC40" s="7917">
        <f>OFFSET(CC40,0,-1)+1</f>
        <v>54</v>
      </c>
      <c r="CD40" s="7917">
        <f>OFFSET(CD40,0,-1)+1</f>
        <v>55</v>
      </c>
      <c r="CE40" s="7917"/>
      <c r="CF40" s="7917">
        <f>OFFSET(CF40,0,-2)+1</f>
        <v>56</v>
      </c>
      <c r="CG40" s="7917">
        <f>OFFSET(CG40,0,-1)+1</f>
        <v>57</v>
      </c>
      <c r="CH40" s="7917">
        <f>OFFSET(CH40,0,-1)+1</f>
        <v>58</v>
      </c>
      <c r="CI40" s="7917">
        <f>OFFSET(CI40,0,-1)+1</f>
        <v>59</v>
      </c>
      <c r="CJ40" s="7917">
        <f>OFFSET(CJ40,0,-1)+1</f>
        <v>60</v>
      </c>
      <c r="CK40" s="7917">
        <f>OFFSET(CK40,0,-1)+1</f>
        <v>61</v>
      </c>
      <c r="CL40" s="7917"/>
      <c r="CM40" s="7917">
        <f>OFFSET(CM40,0,-2)+1</f>
        <v>62</v>
      </c>
      <c r="CN40" s="21316">
        <f>OFFSET(CN40,0,-1)+1</f>
        <v>63</v>
      </c>
      <c r="CO40" s="21316">
        <f>OFFSET(CO40,0,-1)+1</f>
        <v>64</v>
      </c>
      <c r="CP40" s="21316">
        <f>OFFSET(CP40,0,-1)+1</f>
        <v>65</v>
      </c>
      <c r="CQ40" s="21316">
        <f>OFFSET(CQ40,0,-1)+1</f>
        <v>66</v>
      </c>
      <c r="CR40" s="21316">
        <f>OFFSET(CR40,0,-1)+1</f>
        <v>67</v>
      </c>
      <c r="CS40" s="21316"/>
      <c r="CT40" s="21316">
        <f>OFFSET(CT40,0,-2)+1</f>
        <v>68</v>
      </c>
      <c r="CU40" s="1757">
        <f>OFFSET(CU40,0,-1)</f>
        <v>68</v>
      </c>
      <c r="CV40" s="1865">
        <f>OFFSET(CV40,0,-1)+1</f>
        <v>69</v>
      </c>
      <c r="CW40" s="1023"/>
      <c r="CX40" s="1023"/>
      <c r="CY40" s="1023"/>
      <c r="CZ40" s="1023"/>
      <c r="DA40" s="1023"/>
      <c r="DB40" s="1008">
        <v>0</v>
      </c>
    </row>
    <row customHeight="1" ht="24">
      <c r="A41" s="1875" t="s">
        <v>287</v>
      </c>
      <c r="B41" s="1875"/>
      <c r="C41" s="1875"/>
      <c r="D41" s="1875"/>
      <c r="E41" s="2770">
        <v>1</v>
      </c>
      <c r="F41" s="1875"/>
      <c r="G41" s="1875"/>
      <c r="H41" s="1875"/>
      <c r="I41" s="1875"/>
      <c r="J41" s="1875"/>
      <c r="K41" s="1875"/>
      <c r="L41" s="1876"/>
      <c r="M41" s="1877"/>
      <c r="N41" s="1877"/>
      <c r="O41" s="1877"/>
      <c r="P41" s="873"/>
      <c r="Q41" s="872"/>
      <c r="R41" s="867"/>
      <c r="S41" s="1870">
        <f>INDEX(PT_DIFFERENTIATION_NUM_NTAR,MATCH(A41,PT_DIFFERENTIATION_NTAR_ID,0))</f>
        <v>1</v>
      </c>
      <c r="T41" s="810" t="s">
        <v>189</v>
      </c>
      <c r="U41" s="812"/>
      <c r="V41" s="2754"/>
      <c r="W41" s="2755"/>
      <c r="X41" s="2755"/>
      <c r="Y41" s="2755"/>
      <c r="Z41" s="2755"/>
      <c r="AA41" s="2755"/>
      <c r="AB41" s="2756"/>
      <c r="AC41" s="2754" t="str">
        <f>INDEX(PT_DIFFERENTIATION_NTAR,MATCH(A41,PT_DIFFERENTIATION_NTAR_ID,0))</f>
        <v>Тариф на питьевую воду для потребителей КГУП "Примтеплоэнерго"</v>
      </c>
      <c r="AD41" s="2755"/>
      <c r="AE41" s="2755"/>
      <c r="AF41" s="2755"/>
      <c r="AG41" s="2755"/>
      <c r="AH41" s="2755"/>
      <c r="AI41" s="2755"/>
      <c r="AJ41" s="7686"/>
      <c r="AK41" s="7687"/>
      <c r="AL41" s="7687"/>
      <c r="AM41" s="7687"/>
      <c r="AN41" s="7687"/>
      <c r="AO41" s="7687"/>
      <c r="AP41" s="7688"/>
      <c r="AQ41" s="7686"/>
      <c r="AR41" s="7687"/>
      <c r="AS41" s="7687"/>
      <c r="AT41" s="7687"/>
      <c r="AU41" s="7687"/>
      <c r="AV41" s="7687"/>
      <c r="AW41" s="7688"/>
      <c r="AX41" s="7686"/>
      <c r="AY41" s="7687"/>
      <c r="AZ41" s="7687"/>
      <c r="BA41" s="7687"/>
      <c r="BB41" s="7687"/>
      <c r="BC41" s="7687"/>
      <c r="BD41" s="7688"/>
      <c r="BE41" s="7686"/>
      <c r="BF41" s="7687"/>
      <c r="BG41" s="7687"/>
      <c r="BH41" s="7687"/>
      <c r="BI41" s="7687"/>
      <c r="BJ41" s="7687"/>
      <c r="BK41" s="7688"/>
      <c r="BL41" s="7686"/>
      <c r="BM41" s="7687"/>
      <c r="BN41" s="7687"/>
      <c r="BO41" s="7687"/>
      <c r="BP41" s="7687"/>
      <c r="BQ41" s="7687"/>
      <c r="BR41" s="7688"/>
      <c r="BS41" s="7686"/>
      <c r="BT41" s="7687"/>
      <c r="BU41" s="7687"/>
      <c r="BV41" s="7687"/>
      <c r="BW41" s="7687"/>
      <c r="BX41" s="7687"/>
      <c r="BY41" s="7688"/>
      <c r="BZ41" s="7686"/>
      <c r="CA41" s="7687"/>
      <c r="CB41" s="7687"/>
      <c r="CC41" s="7687"/>
      <c r="CD41" s="7687"/>
      <c r="CE41" s="7687"/>
      <c r="CF41" s="7688"/>
      <c r="CG41" s="7686"/>
      <c r="CH41" s="7687"/>
      <c r="CI41" s="7687"/>
      <c r="CJ41" s="7687"/>
      <c r="CK41" s="7687"/>
      <c r="CL41" s="7687"/>
      <c r="CM41" s="7688"/>
      <c r="CN41" s="21025"/>
      <c r="CO41" s="21026"/>
      <c r="CP41" s="21026"/>
      <c r="CQ41" s="21026"/>
      <c r="CR41" s="21026"/>
      <c r="CS41" s="21026"/>
      <c r="CT41" s="21027"/>
      <c r="CU41" s="2756"/>
      <c r="CV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1012"/>
      <c r="CY41" s="1012" t="str">
        <f>IF(T41="","",T41)</f>
        <v>Наименование тарифа</v>
      </c>
      <c r="CZ41" s="1012"/>
      <c r="DA41" s="1012"/>
      <c r="DB41" s="1667">
        <v>23</v>
      </c>
    </row>
    <row customHeight="1" ht="24">
      <c r="A42" s="1875" t="s">
        <v>287</v>
      </c>
      <c r="B42" s="1875" t="s">
        <v>288</v>
      </c>
      <c r="C42" s="1875"/>
      <c r="D42" s="1875"/>
      <c r="E42" s="2771"/>
      <c r="F42" s="2770">
        <v>1</v>
      </c>
      <c r="G42" s="1875"/>
      <c r="H42" s="1875"/>
      <c r="I42" s="1875"/>
      <c r="J42" s="1875"/>
      <c r="K42" s="1875"/>
      <c r="L42" s="1876"/>
      <c r="M42" s="1877"/>
      <c r="N42" s="1877"/>
      <c r="O42" s="1877"/>
      <c r="P42" s="1868"/>
      <c r="Q42" s="864"/>
      <c r="R42" s="865"/>
      <c r="S42" s="1870" t="str">
        <f>INDEX(PT_DIFFERENTIATION_NUM_TER,MATCH(B42,PT_DIFFERENTIATION_TER_ID,0))</f>
        <v>1.1</v>
      </c>
      <c r="T42" s="820" t="s">
        <v>536</v>
      </c>
      <c r="U42" s="812"/>
      <c r="V42" s="2754"/>
      <c r="W42" s="2755"/>
      <c r="X42" s="2755"/>
      <c r="Y42" s="2755"/>
      <c r="Z42" s="2755"/>
      <c r="AA42" s="2755"/>
      <c r="AB42" s="2756"/>
      <c r="AC42" s="2754" t="str">
        <f>INDEX(PT_DIFFERENTIATION_TER,MATCH(B42,PT_DIFFERENTIATION_TER_ID,0))</f>
        <v>Территория 1</v>
      </c>
      <c r="AD42" s="2755"/>
      <c r="AE42" s="2755"/>
      <c r="AF42" s="2755"/>
      <c r="AG42" s="2755"/>
      <c r="AH42" s="2755"/>
      <c r="AI42" s="2755"/>
      <c r="AJ42" s="7686"/>
      <c r="AK42" s="7687"/>
      <c r="AL42" s="7687"/>
      <c r="AM42" s="7687"/>
      <c r="AN42" s="7687"/>
      <c r="AO42" s="7687"/>
      <c r="AP42" s="7688"/>
      <c r="AQ42" s="7686"/>
      <c r="AR42" s="7687"/>
      <c r="AS42" s="7687"/>
      <c r="AT42" s="7687"/>
      <c r="AU42" s="7687"/>
      <c r="AV42" s="7687"/>
      <c r="AW42" s="7688"/>
      <c r="AX42" s="7686"/>
      <c r="AY42" s="7687"/>
      <c r="AZ42" s="7687"/>
      <c r="BA42" s="7687"/>
      <c r="BB42" s="7687"/>
      <c r="BC42" s="7687"/>
      <c r="BD42" s="7688"/>
      <c r="BE42" s="7686"/>
      <c r="BF42" s="7687"/>
      <c r="BG42" s="7687"/>
      <c r="BH42" s="7687"/>
      <c r="BI42" s="7687"/>
      <c r="BJ42" s="7687"/>
      <c r="BK42" s="7688"/>
      <c r="BL42" s="7686"/>
      <c r="BM42" s="7687"/>
      <c r="BN42" s="7687"/>
      <c r="BO42" s="7687"/>
      <c r="BP42" s="7687"/>
      <c r="BQ42" s="7687"/>
      <c r="BR42" s="7688"/>
      <c r="BS42" s="7686"/>
      <c r="BT42" s="7687"/>
      <c r="BU42" s="7687"/>
      <c r="BV42" s="7687"/>
      <c r="BW42" s="7687"/>
      <c r="BX42" s="7687"/>
      <c r="BY42" s="7688"/>
      <c r="BZ42" s="7686"/>
      <c r="CA42" s="7687"/>
      <c r="CB42" s="7687"/>
      <c r="CC42" s="7687"/>
      <c r="CD42" s="7687"/>
      <c r="CE42" s="7687"/>
      <c r="CF42" s="7688"/>
      <c r="CG42" s="7686"/>
      <c r="CH42" s="7687"/>
      <c r="CI42" s="7687"/>
      <c r="CJ42" s="7687"/>
      <c r="CK42" s="7687"/>
      <c r="CL42" s="7687"/>
      <c r="CM42" s="7688"/>
      <c r="CN42" s="21025"/>
      <c r="CO42" s="21026"/>
      <c r="CP42" s="21026"/>
      <c r="CQ42" s="21026"/>
      <c r="CR42" s="21026"/>
      <c r="CS42" s="21026"/>
      <c r="CT42" s="21027"/>
      <c r="CU42" s="2756"/>
      <c r="CV42" s="1770" t="s">
        <v>537</v>
      </c>
      <c r="CX42" s="1012"/>
      <c r="CY42" s="1012" t="str">
        <f>IF(T42="","",T42)</f>
        <v>Территория действия тарифа</v>
      </c>
      <c r="CZ42" s="1012"/>
      <c r="DA42" s="1012"/>
      <c r="DB42" s="1667">
        <v>23</v>
      </c>
    </row>
    <row customHeight="1" ht="24">
      <c r="A43" s="1875" t="s">
        <v>287</v>
      </c>
      <c r="B43" s="1875" t="s">
        <v>288</v>
      </c>
      <c r="C43" s="1875" t="s">
        <v>289</v>
      </c>
      <c r="D43" s="1875"/>
      <c r="E43" s="2771"/>
      <c r="F43" s="2771"/>
      <c r="G43" s="2770">
        <v>1</v>
      </c>
      <c r="H43" s="1875"/>
      <c r="I43" s="1875"/>
      <c r="J43" s="1875"/>
      <c r="K43" s="1875"/>
      <c r="L43" s="1876"/>
      <c r="M43" s="1877"/>
      <c r="N43" s="1877"/>
      <c r="O43" s="1877"/>
      <c r="P43" s="866"/>
      <c r="Q43" s="864"/>
      <c r="R43" s="865"/>
      <c r="S43" s="1870" t="str">
        <f>INDEX(PT_DIFFERENTIATION_NUM_CS,MATCH(C43,PT_DIFFERENTIATION_CS_ID,0))</f>
        <v>1.1.1</v>
      </c>
      <c r="T43" s="821" t="s">
        <v>617</v>
      </c>
      <c r="U43" s="812"/>
      <c r="V43" s="2754"/>
      <c r="W43" s="2755"/>
      <c r="X43" s="2755"/>
      <c r="Y43" s="2755"/>
      <c r="Z43" s="2755"/>
      <c r="AA43" s="2755"/>
      <c r="AB43" s="2756"/>
      <c r="AC43" s="2754" t="str">
        <f>INDEX(PT_DIFFERENTIATION_CS,MATCH(C43,PT_DIFFERENTIATION_CS_ID,0))</f>
        <v>с. Анучино, с. Новогордеевка</v>
      </c>
      <c r="AD43" s="2755"/>
      <c r="AE43" s="2755"/>
      <c r="AF43" s="2755"/>
      <c r="AG43" s="2755"/>
      <c r="AH43" s="2755"/>
      <c r="AI43" s="2755"/>
      <c r="AJ43" s="7686"/>
      <c r="AK43" s="7687"/>
      <c r="AL43" s="7687"/>
      <c r="AM43" s="7687"/>
      <c r="AN43" s="7687"/>
      <c r="AO43" s="7687"/>
      <c r="AP43" s="7688"/>
      <c r="AQ43" s="7686"/>
      <c r="AR43" s="7687"/>
      <c r="AS43" s="7687"/>
      <c r="AT43" s="7687"/>
      <c r="AU43" s="7687"/>
      <c r="AV43" s="7687"/>
      <c r="AW43" s="7688"/>
      <c r="AX43" s="7686"/>
      <c r="AY43" s="7687"/>
      <c r="AZ43" s="7687"/>
      <c r="BA43" s="7687"/>
      <c r="BB43" s="7687"/>
      <c r="BC43" s="7687"/>
      <c r="BD43" s="7688"/>
      <c r="BE43" s="7686"/>
      <c r="BF43" s="7687"/>
      <c r="BG43" s="7687"/>
      <c r="BH43" s="7687"/>
      <c r="BI43" s="7687"/>
      <c r="BJ43" s="7687"/>
      <c r="BK43" s="7688"/>
      <c r="BL43" s="7686"/>
      <c r="BM43" s="7687"/>
      <c r="BN43" s="7687"/>
      <c r="BO43" s="7687"/>
      <c r="BP43" s="7687"/>
      <c r="BQ43" s="7687"/>
      <c r="BR43" s="7688"/>
      <c r="BS43" s="7686"/>
      <c r="BT43" s="7687"/>
      <c r="BU43" s="7687"/>
      <c r="BV43" s="7687"/>
      <c r="BW43" s="7687"/>
      <c r="BX43" s="7687"/>
      <c r="BY43" s="7688"/>
      <c r="BZ43" s="7686"/>
      <c r="CA43" s="7687"/>
      <c r="CB43" s="7687"/>
      <c r="CC43" s="7687"/>
      <c r="CD43" s="7687"/>
      <c r="CE43" s="7687"/>
      <c r="CF43" s="7688"/>
      <c r="CG43" s="7686"/>
      <c r="CH43" s="7687"/>
      <c r="CI43" s="7687"/>
      <c r="CJ43" s="7687"/>
      <c r="CK43" s="7687"/>
      <c r="CL43" s="7687"/>
      <c r="CM43" s="7688"/>
      <c r="CN43" s="21025"/>
      <c r="CO43" s="21026"/>
      <c r="CP43" s="21026"/>
      <c r="CQ43" s="21026"/>
      <c r="CR43" s="21026"/>
      <c r="CS43" s="21026"/>
      <c r="CT43" s="21027"/>
      <c r="CU43" s="2756"/>
      <c r="CV43" s="1770" t="s">
        <v>618</v>
      </c>
      <c r="CX43" s="1012"/>
      <c r="CY43" s="1012" t="str">
        <f>IF(T43="","",T43)</f>
        <v>Наименование централизованной системы холодного водоснабжения</v>
      </c>
      <c r="CZ43" s="1012"/>
      <c r="DA43" s="1012"/>
      <c r="DB43" s="1667">
        <v>23</v>
      </c>
    </row>
    <row customHeight="1" ht="24">
      <c r="A44" s="1875" t="s">
        <v>287</v>
      </c>
      <c r="B44" s="1875" t="s">
        <v>288</v>
      </c>
      <c r="C44" s="1875" t="s">
        <v>289</v>
      </c>
      <c r="D44" s="1875" t="s">
        <v>631</v>
      </c>
      <c r="E44" s="2771"/>
      <c r="F44" s="2771"/>
      <c r="G44" s="2771"/>
      <c r="H44" s="2771"/>
      <c r="I44" s="2768" t="str">
        <f>S43&amp;".1"</f>
        <v>1.1.1.1</v>
      </c>
      <c r="J44" s="1875"/>
      <c r="K44" s="1875"/>
      <c r="L44" s="1876"/>
      <c r="P44" s="2769">
        <v>1</v>
      </c>
      <c r="Q44" s="1866"/>
      <c r="R44" s="868"/>
      <c r="S44" s="1870" t="str">
        <f>$I44</f>
        <v>1.1.1.1</v>
      </c>
      <c r="T44" s="797" t="s">
        <v>619</v>
      </c>
      <c r="U44" s="812"/>
      <c r="V44" s="2862"/>
      <c r="W44" s="2863"/>
      <c r="X44" s="2863"/>
      <c r="Y44" s="2863"/>
      <c r="Z44" s="2863"/>
      <c r="AA44" s="2863"/>
      <c r="AB44" s="2864"/>
      <c r="AC44" s="2865"/>
      <c r="AD44" s="2866"/>
      <c r="AE44" s="2866"/>
      <c r="AF44" s="2866"/>
      <c r="AG44" s="2866"/>
      <c r="AH44" s="2866"/>
      <c r="AI44" s="2866"/>
      <c r="AJ44" s="7696"/>
      <c r="AK44" s="7697"/>
      <c r="AL44" s="7697"/>
      <c r="AM44" s="7697"/>
      <c r="AN44" s="7697"/>
      <c r="AO44" s="7697"/>
      <c r="AP44" s="7698"/>
      <c r="AQ44" s="7696"/>
      <c r="AR44" s="7697"/>
      <c r="AS44" s="7697"/>
      <c r="AT44" s="7697"/>
      <c r="AU44" s="7697"/>
      <c r="AV44" s="7697"/>
      <c r="AW44" s="7698"/>
      <c r="AX44" s="7696"/>
      <c r="AY44" s="7697"/>
      <c r="AZ44" s="7697"/>
      <c r="BA44" s="7697"/>
      <c r="BB44" s="7697"/>
      <c r="BC44" s="7697"/>
      <c r="BD44" s="7698"/>
      <c r="BE44" s="7696"/>
      <c r="BF44" s="7697"/>
      <c r="BG44" s="7697"/>
      <c r="BH44" s="7697"/>
      <c r="BI44" s="7697"/>
      <c r="BJ44" s="7697"/>
      <c r="BK44" s="7698"/>
      <c r="BL44" s="7696"/>
      <c r="BM44" s="7697"/>
      <c r="BN44" s="7697"/>
      <c r="BO44" s="7697"/>
      <c r="BP44" s="7697"/>
      <c r="BQ44" s="7697"/>
      <c r="BR44" s="7698"/>
      <c r="BS44" s="7696"/>
      <c r="BT44" s="7697"/>
      <c r="BU44" s="7697"/>
      <c r="BV44" s="7697"/>
      <c r="BW44" s="7697"/>
      <c r="BX44" s="7697"/>
      <c r="BY44" s="7698"/>
      <c r="BZ44" s="7696"/>
      <c r="CA44" s="7697"/>
      <c r="CB44" s="7697"/>
      <c r="CC44" s="7697"/>
      <c r="CD44" s="7697"/>
      <c r="CE44" s="7697"/>
      <c r="CF44" s="7698"/>
      <c r="CG44" s="7696"/>
      <c r="CH44" s="7697"/>
      <c r="CI44" s="7697"/>
      <c r="CJ44" s="7697"/>
      <c r="CK44" s="7697"/>
      <c r="CL44" s="7697"/>
      <c r="CM44" s="7698"/>
      <c r="CN44" s="21038"/>
      <c r="CO44" s="21039"/>
      <c r="CP44" s="21039"/>
      <c r="CQ44" s="21039"/>
      <c r="CR44" s="21039"/>
      <c r="CS44" s="21039"/>
      <c r="CT44" s="21040"/>
      <c r="CU44" s="2867"/>
      <c r="CV44" s="1770" t="s">
        <v>620</v>
      </c>
      <c r="CX44" s="1012"/>
      <c r="CY44" s="1012" t="str">
        <f>IF(T44="","",T44)</f>
        <v>Наименование признака дифференциации</v>
      </c>
      <c r="CZ44" s="1012"/>
      <c r="DA44" s="1012"/>
      <c r="DB44" s="1667">
        <v>23</v>
      </c>
    </row>
    <row customHeight="1" ht="24">
      <c r="A45" s="1875" t="s">
        <v>287</v>
      </c>
      <c r="B45" s="1875" t="s">
        <v>288</v>
      </c>
      <c r="C45" s="1875" t="s">
        <v>289</v>
      </c>
      <c r="D45" s="1875" t="s">
        <v>631</v>
      </c>
      <c r="E45" s="2771"/>
      <c r="F45" s="2771"/>
      <c r="G45" s="2771"/>
      <c r="H45" s="2771"/>
      <c r="I45" s="2798"/>
      <c r="J45" s="2768" t="str">
        <f>I44&amp;".1"</f>
        <v>1.1.1.1.1</v>
      </c>
      <c r="K45" s="1875"/>
      <c r="L45" s="1876" t="s">
        <v>545</v>
      </c>
      <c r="P45" s="2769"/>
      <c r="Q45" s="2769">
        <v>1</v>
      </c>
      <c r="R45" s="869"/>
      <c r="S45" s="1870" t="str">
        <f>$J45</f>
        <v>1.1.1.1.1</v>
      </c>
      <c r="T45" s="798" t="s">
        <v>546</v>
      </c>
      <c r="U45" s="812"/>
      <c r="V45" s="2757"/>
      <c r="W45" s="2758"/>
      <c r="X45" s="2758"/>
      <c r="Y45" s="2758"/>
      <c r="Z45" s="2758"/>
      <c r="AA45" s="2758"/>
      <c r="AB45" s="2759"/>
      <c r="AC45" s="2757" t="s">
        <v>632</v>
      </c>
      <c r="AD45" s="2758"/>
      <c r="AE45" s="2758"/>
      <c r="AF45" s="2758"/>
      <c r="AG45" s="2758"/>
      <c r="AH45" s="2758"/>
      <c r="AI45" s="2758"/>
      <c r="AJ45" s="7700"/>
      <c r="AK45" s="7701"/>
      <c r="AL45" s="7701"/>
      <c r="AM45" s="7701"/>
      <c r="AN45" s="7701"/>
      <c r="AO45" s="7701"/>
      <c r="AP45" s="7702"/>
      <c r="AQ45" s="7700"/>
      <c r="AR45" s="7701"/>
      <c r="AS45" s="7701"/>
      <c r="AT45" s="7701"/>
      <c r="AU45" s="7701"/>
      <c r="AV45" s="7701"/>
      <c r="AW45" s="7702"/>
      <c r="AX45" s="7700"/>
      <c r="AY45" s="7701"/>
      <c r="AZ45" s="7701"/>
      <c r="BA45" s="7701"/>
      <c r="BB45" s="7701"/>
      <c r="BC45" s="7701"/>
      <c r="BD45" s="7702"/>
      <c r="BE45" s="7700"/>
      <c r="BF45" s="7701"/>
      <c r="BG45" s="7701"/>
      <c r="BH45" s="7701"/>
      <c r="BI45" s="7701"/>
      <c r="BJ45" s="7701"/>
      <c r="BK45" s="7702"/>
      <c r="BL45" s="7700"/>
      <c r="BM45" s="7701"/>
      <c r="BN45" s="7701"/>
      <c r="BO45" s="7701"/>
      <c r="BP45" s="7701"/>
      <c r="BQ45" s="7701"/>
      <c r="BR45" s="7702"/>
      <c r="BS45" s="7700"/>
      <c r="BT45" s="7701"/>
      <c r="BU45" s="7701"/>
      <c r="BV45" s="7701"/>
      <c r="BW45" s="7701"/>
      <c r="BX45" s="7701"/>
      <c r="BY45" s="7702"/>
      <c r="BZ45" s="7700"/>
      <c r="CA45" s="7701"/>
      <c r="CB45" s="7701"/>
      <c r="CC45" s="7701"/>
      <c r="CD45" s="7701"/>
      <c r="CE45" s="7701"/>
      <c r="CF45" s="7702"/>
      <c r="CG45" s="7700"/>
      <c r="CH45" s="7701"/>
      <c r="CI45" s="7701"/>
      <c r="CJ45" s="7701"/>
      <c r="CK45" s="7701"/>
      <c r="CL45" s="7701"/>
      <c r="CM45" s="7702"/>
      <c r="CN45" s="21045"/>
      <c r="CO45" s="21046"/>
      <c r="CP45" s="21046"/>
      <c r="CQ45" s="21046"/>
      <c r="CR45" s="21046"/>
      <c r="CS45" s="21046"/>
      <c r="CT45" s="21047"/>
      <c r="CU45" s="2759"/>
      <c r="CV45" s="1819" t="s">
        <v>621</v>
      </c>
      <c r="CX45" s="1012"/>
      <c r="CY45" s="1012" t="str">
        <f>IF(T45="","",T45)</f>
        <v>Группа потребителей</v>
      </c>
      <c r="CZ45" s="1012"/>
      <c r="DA45" s="1012"/>
      <c r="DB45" s="1667">
        <v>23</v>
      </c>
    </row>
    <row customHeight="1" ht="24">
      <c r="A46" s="1875" t="s">
        <v>287</v>
      </c>
      <c r="B46" s="1875" t="s">
        <v>288</v>
      </c>
      <c r="C46" s="1875" t="s">
        <v>289</v>
      </c>
      <c r="D46" s="1875" t="s">
        <v>631</v>
      </c>
      <c r="E46" s="2771"/>
      <c r="F46" s="2771"/>
      <c r="G46" s="2771"/>
      <c r="H46" s="2771"/>
      <c r="I46" s="2798"/>
      <c r="J46" s="2798"/>
      <c r="K46" s="2768" t="str">
        <f>J45&amp;".1"</f>
        <v>1.1.1.1.1.1</v>
      </c>
      <c r="L46" s="1876"/>
      <c r="P46" s="2769"/>
      <c r="Q46" s="2769"/>
      <c r="R46" s="869">
        <v>1</v>
      </c>
      <c r="S46" s="1870" t="str">
        <f>$K46</f>
        <v>1.1.1.1.1.1</v>
      </c>
      <c r="T46" s="1949" t="s">
        <v>614</v>
      </c>
      <c r="U46" s="812"/>
      <c r="V46" s="7704"/>
      <c r="W46" s="7704"/>
      <c r="X46" s="7705"/>
      <c r="Y46" s="7706"/>
      <c r="Z46" s="7707" t="s">
        <v>63</v>
      </c>
      <c r="AA46" s="7921"/>
      <c r="AB46" s="7707" t="s">
        <v>63</v>
      </c>
      <c r="AC46" s="1263">
        <v>50.16</v>
      </c>
      <c r="AD46" s="1263"/>
      <c r="AE46" s="1769"/>
      <c r="AF46" s="21055">
        <v>45292.71702546296</v>
      </c>
      <c r="AG46" s="2619" t="s">
        <v>63</v>
      </c>
      <c r="AH46" s="21321">
        <v>45473.717314814814</v>
      </c>
      <c r="AI46" s="2619" t="s">
        <v>63</v>
      </c>
      <c r="AJ46" s="7704">
        <v>60.19</v>
      </c>
      <c r="AK46" s="7704"/>
      <c r="AL46" s="7705"/>
      <c r="AM46" s="21055">
        <v>45474.720972222225</v>
      </c>
      <c r="AN46" s="7707" t="s">
        <v>63</v>
      </c>
      <c r="AO46" s="21321">
        <v>45657.72109953704</v>
      </c>
      <c r="AP46" s="7707" t="s">
        <v>63</v>
      </c>
      <c r="AQ46" s="7704">
        <v>60.19</v>
      </c>
      <c r="AR46" s="7704"/>
      <c r="AS46" s="7705"/>
      <c r="AT46" s="21055">
        <v>45658.73615740741</v>
      </c>
      <c r="AU46" s="7707" t="s">
        <v>63</v>
      </c>
      <c r="AV46" s="21321">
        <v>45838.73672453704</v>
      </c>
      <c r="AW46" s="7707" t="s">
        <v>63</v>
      </c>
      <c r="AX46" s="7704">
        <v>69.82</v>
      </c>
      <c r="AY46" s="7704"/>
      <c r="AZ46" s="7705"/>
      <c r="BA46" s="21055">
        <v>45839.737442129626</v>
      </c>
      <c r="BB46" s="7707" t="s">
        <v>63</v>
      </c>
      <c r="BC46" s="21321">
        <v>46022.73756944444</v>
      </c>
      <c r="BD46" s="7707" t="s">
        <v>63</v>
      </c>
      <c r="BE46" s="7704">
        <v>69.82</v>
      </c>
      <c r="BF46" s="7704"/>
      <c r="BG46" s="7705"/>
      <c r="BH46" s="21055">
        <v>46023.73795138889</v>
      </c>
      <c r="BI46" s="7707" t="s">
        <v>63</v>
      </c>
      <c r="BJ46" s="21321">
        <v>46203.738171296296</v>
      </c>
      <c r="BK46" s="7707" t="s">
        <v>63</v>
      </c>
      <c r="BL46" s="7704">
        <v>74.01</v>
      </c>
      <c r="BM46" s="7704"/>
      <c r="BN46" s="7705"/>
      <c r="BO46" s="21055">
        <v>46204.738530092596</v>
      </c>
      <c r="BP46" s="7707" t="s">
        <v>63</v>
      </c>
      <c r="BQ46" s="21321">
        <v>46387.738912037035</v>
      </c>
      <c r="BR46" s="7707" t="s">
        <v>63</v>
      </c>
      <c r="BS46" s="7704">
        <v>74.01</v>
      </c>
      <c r="BT46" s="7704"/>
      <c r="BU46" s="7705"/>
      <c r="BV46" s="21055">
        <v>46388.739375</v>
      </c>
      <c r="BW46" s="7707" t="s">
        <v>63</v>
      </c>
      <c r="BX46" s="21321">
        <v>46568.73972222222</v>
      </c>
      <c r="BY46" s="7707" t="s">
        <v>63</v>
      </c>
      <c r="BZ46" s="7704">
        <v>79.19</v>
      </c>
      <c r="CA46" s="7704"/>
      <c r="CB46" s="7705"/>
      <c r="CC46" s="21055">
        <v>46569.74050925926</v>
      </c>
      <c r="CD46" s="7707" t="s">
        <v>63</v>
      </c>
      <c r="CE46" s="21321">
        <v>46752.74077546296</v>
      </c>
      <c r="CF46" s="7707" t="s">
        <v>63</v>
      </c>
      <c r="CG46" s="7704">
        <v>79.19</v>
      </c>
      <c r="CH46" s="7704"/>
      <c r="CI46" s="7705"/>
      <c r="CJ46" s="21055">
        <v>46753.741273148145</v>
      </c>
      <c r="CK46" s="7707" t="s">
        <v>63</v>
      </c>
      <c r="CL46" s="21321">
        <v>46934.7415625</v>
      </c>
      <c r="CM46" s="7707" t="s">
        <v>63</v>
      </c>
      <c r="CN46" s="21053">
        <v>82.65</v>
      </c>
      <c r="CO46" s="21053"/>
      <c r="CP46" s="21054"/>
      <c r="CQ46" s="21055">
        <v>46935.453935185185</v>
      </c>
      <c r="CR46" s="21056" t="s">
        <v>63</v>
      </c>
      <c r="CS46" s="21321">
        <v>47118.45423611111</v>
      </c>
      <c r="CT46" s="21056" t="s">
        <v>63</v>
      </c>
      <c r="CU46" s="1950"/>
      <c r="CV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1023">
        <f>STRCHECKDATE(V47:CU47)</f>
      </c>
      <c r="CX46" s="1012"/>
      <c r="CY46" s="1012" t="str">
        <f>IF(T46="","",T46)</f>
        <v>с НДС</v>
      </c>
      <c r="CZ46" s="1012"/>
      <c r="DA46" s="1012"/>
      <c r="DB46" s="1667">
        <v>23</v>
      </c>
    </row>
    <row customHeight="1" ht="18">
      <c r="A47" s="1875" t="s">
        <v>287</v>
      </c>
      <c r="B47" s="1875" t="s">
        <v>288</v>
      </c>
      <c r="C47" s="1875" t="s">
        <v>289</v>
      </c>
      <c r="D47" s="1875" t="s">
        <v>631</v>
      </c>
      <c r="E47" s="2771"/>
      <c r="F47" s="2771"/>
      <c r="G47" s="2771"/>
      <c r="H47" s="2771"/>
      <c r="I47" s="2798"/>
      <c r="J47" s="2798"/>
      <c r="K47" s="2768"/>
      <c r="L47" s="1876"/>
      <c r="P47" s="2769"/>
      <c r="Q47" s="2769"/>
      <c r="R47" s="869"/>
      <c r="S47" s="1871"/>
      <c r="T47" s="812"/>
      <c r="U47" s="812"/>
      <c r="V47" s="7711"/>
      <c r="W47" s="7711"/>
      <c r="X47" s="7712" t="str">
        <f>Y46&amp;"-"&amp;AA46</f>
        <v>-</v>
      </c>
      <c r="Y47" s="7713"/>
      <c r="Z47" s="7707"/>
      <c r="AA47" s="7923"/>
      <c r="AB47" s="7707"/>
      <c r="AC47" s="837"/>
      <c r="AD47" s="837"/>
      <c r="AE47" s="840" t="str">
        <f>AF46&amp;"-"&amp;AH46</f>
        <v>45292.71702546296-45473.717314814814</v>
      </c>
      <c r="AF47" s="2778"/>
      <c r="AG47" s="2619"/>
      <c r="AH47" s="2800"/>
      <c r="AI47" s="2619"/>
      <c r="AJ47" s="7711"/>
      <c r="AK47" s="7711"/>
      <c r="AL47" s="7712" t="str">
        <f>AM46&amp;"-"&amp;AO46</f>
        <v>45474.720972222225-45657.72109953704</v>
      </c>
      <c r="AM47" s="7713"/>
      <c r="AN47" s="7707"/>
      <c r="AO47" s="7923"/>
      <c r="AP47" s="7707"/>
      <c r="AQ47" s="7711"/>
      <c r="AR47" s="7711"/>
      <c r="AS47" s="7712" t="str">
        <f>AT46&amp;"-"&amp;AV46</f>
        <v>45658.73615740741-45838.73672453704</v>
      </c>
      <c r="AT47" s="7713"/>
      <c r="AU47" s="7707"/>
      <c r="AV47" s="7923"/>
      <c r="AW47" s="7707"/>
      <c r="AX47" s="7711"/>
      <c r="AY47" s="7711"/>
      <c r="AZ47" s="7712" t="str">
        <f>BA46&amp;"-"&amp;BC46</f>
        <v>45839.737442129626-46022.73756944444</v>
      </c>
      <c r="BA47" s="7713"/>
      <c r="BB47" s="7707"/>
      <c r="BC47" s="7923"/>
      <c r="BD47" s="7707"/>
      <c r="BE47" s="7711"/>
      <c r="BF47" s="7711"/>
      <c r="BG47" s="7712" t="str">
        <f>BH46&amp;"-"&amp;BJ46</f>
        <v>46023.73795138889-46203.738171296296</v>
      </c>
      <c r="BH47" s="7713"/>
      <c r="BI47" s="7707"/>
      <c r="BJ47" s="7923"/>
      <c r="BK47" s="7707"/>
      <c r="BL47" s="7711"/>
      <c r="BM47" s="7711"/>
      <c r="BN47" s="7712" t="str">
        <f>BO46&amp;"-"&amp;BQ46</f>
        <v>46204.738530092596-46387.738912037035</v>
      </c>
      <c r="BO47" s="7713"/>
      <c r="BP47" s="7707"/>
      <c r="BQ47" s="7923"/>
      <c r="BR47" s="7707"/>
      <c r="BS47" s="7711"/>
      <c r="BT47" s="7711"/>
      <c r="BU47" s="7712" t="str">
        <f>BV46&amp;"-"&amp;BX46</f>
        <v>46388.739375-46568.73972222222</v>
      </c>
      <c r="BV47" s="7713"/>
      <c r="BW47" s="7707"/>
      <c r="BX47" s="7923"/>
      <c r="BY47" s="7707"/>
      <c r="BZ47" s="7711"/>
      <c r="CA47" s="7711"/>
      <c r="CB47" s="7712" t="str">
        <f>CC46&amp;"-"&amp;CE46</f>
        <v>46569.74050925926-46752.74077546296</v>
      </c>
      <c r="CC47" s="7713"/>
      <c r="CD47" s="7707"/>
      <c r="CE47" s="7923"/>
      <c r="CF47" s="7707"/>
      <c r="CG47" s="7711"/>
      <c r="CH47" s="7711"/>
      <c r="CI47" s="7712" t="str">
        <f>CJ46&amp;"-"&amp;CL46</f>
        <v>46753.741273148145-46934.7415625</v>
      </c>
      <c r="CJ47" s="7713"/>
      <c r="CK47" s="7707"/>
      <c r="CL47" s="7923"/>
      <c r="CM47" s="7707"/>
      <c r="CN47" s="21063"/>
      <c r="CO47" s="21063"/>
      <c r="CP47" s="21064" t="str">
        <f>CQ46&amp;"-"&amp;CS46</f>
        <v>46935.453935185185-47118.45423611111</v>
      </c>
      <c r="CQ47" s="21065"/>
      <c r="CR47" s="21056"/>
      <c r="CS47" s="21324"/>
      <c r="CT47" s="21056"/>
      <c r="CU47" s="1951"/>
      <c r="CV47" s="2861"/>
      <c r="CX47" s="1012"/>
      <c r="CY47" s="1012" t="str">
        <f>IF(T47="","",T47)</f>
        <v/>
      </c>
      <c r="CZ47" s="1012"/>
      <c r="DA47" s="1012"/>
      <c r="DB47" s="1667">
        <v>0</v>
      </c>
    </row>
    <row customHeight="1" ht="21">
      <c r="A48" s="1875" t="s">
        <v>287</v>
      </c>
      <c r="B48" s="1875" t="s">
        <v>288</v>
      </c>
      <c r="C48" s="1875" t="s">
        <v>289</v>
      </c>
      <c r="D48" s="1875" t="s">
        <v>631</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7924"/>
      <c r="AK48" s="7925"/>
      <c r="AL48" s="7926"/>
      <c r="AM48" s="7927"/>
      <c r="AN48" s="7928"/>
      <c r="AO48" s="7929"/>
      <c r="AP48" s="7930"/>
      <c r="AQ48" s="7931"/>
      <c r="AR48" s="7932"/>
      <c r="AS48" s="7933"/>
      <c r="AT48" s="7934"/>
      <c r="AU48" s="7935"/>
      <c r="AV48" s="7936"/>
      <c r="AW48" s="7937"/>
      <c r="AX48" s="7938"/>
      <c r="AY48" s="7939"/>
      <c r="AZ48" s="7940"/>
      <c r="BA48" s="7941"/>
      <c r="BB48" s="7942"/>
      <c r="BC48" s="7943"/>
      <c r="BD48" s="7944"/>
      <c r="BE48" s="7945"/>
      <c r="BF48" s="7946"/>
      <c r="BG48" s="7947"/>
      <c r="BH48" s="7948"/>
      <c r="BI48" s="7949"/>
      <c r="BJ48" s="7950"/>
      <c r="BK48" s="7951"/>
      <c r="BL48" s="7952"/>
      <c r="BM48" s="7953"/>
      <c r="BN48" s="7954"/>
      <c r="BO48" s="7955"/>
      <c r="BP48" s="7956"/>
      <c r="BQ48" s="7957"/>
      <c r="BR48" s="7958"/>
      <c r="BS48" s="7959"/>
      <c r="BT48" s="7960"/>
      <c r="BU48" s="7961"/>
      <c r="BV48" s="7962"/>
      <c r="BW48" s="7963"/>
      <c r="BX48" s="7964"/>
      <c r="BY48" s="7965"/>
      <c r="BZ48" s="7966"/>
      <c r="CA48" s="7967"/>
      <c r="CB48" s="7968"/>
      <c r="CC48" s="7969"/>
      <c r="CD48" s="7970"/>
      <c r="CE48" s="7971"/>
      <c r="CF48" s="7972"/>
      <c r="CG48" s="7973"/>
      <c r="CH48" s="7974"/>
      <c r="CI48" s="7975"/>
      <c r="CJ48" s="7976"/>
      <c r="CK48" s="7977"/>
      <c r="CL48" s="7978"/>
      <c r="CM48" s="7979"/>
      <c r="CN48" s="21381"/>
      <c r="CO48" s="21382"/>
      <c r="CP48" s="21383"/>
      <c r="CQ48" s="21384"/>
      <c r="CR48" s="21385"/>
      <c r="CS48" s="21386"/>
      <c r="CT48" s="21387"/>
      <c r="CU48" s="879"/>
      <c r="CV48" s="1770" t="s">
        <v>623</v>
      </c>
      <c r="CX48" s="1012"/>
      <c r="CY48" s="1012" t="str">
        <f>IF(T48="","",T48)</f>
        <v>Добавить значение признака дифференциации</v>
      </c>
      <c r="CZ48" s="1012"/>
      <c r="DA48" s="1012"/>
      <c r="DB48" s="1667">
        <v>20</v>
      </c>
    </row>
    <row s="52362" customFormat="1" customHeight="1" ht="23.25">
      <c r="A49" s="7981"/>
      <c r="B49" s="7981"/>
      <c r="C49" s="7981"/>
      <c r="D49" s="7981"/>
      <c r="E49" s="7982"/>
      <c r="F49" s="7982"/>
      <c r="G49" s="7982"/>
      <c r="H49" s="7982"/>
      <c r="I49" s="7983"/>
      <c r="J49" s="7984" t="str">
        <f>I44&amp;".2"</f>
        <v>1.1.1.1.2</v>
      </c>
      <c r="K49" s="7981"/>
      <c r="L49" s="7985" t="s">
        <v>545</v>
      </c>
      <c r="M49" s="7986"/>
      <c r="N49" s="7986"/>
      <c r="O49" s="7986"/>
      <c r="P49" s="7987"/>
      <c r="Q49" s="7988" t="s">
        <v>106</v>
      </c>
      <c r="R49" s="7989"/>
      <c r="S49" s="7990" t="str">
        <f>$J49</f>
        <v>1.1.1.1.2</v>
      </c>
      <c r="T49" s="7991" t="s">
        <v>546</v>
      </c>
      <c r="U49" s="7992"/>
      <c r="V49" s="7700"/>
      <c r="W49" s="7701"/>
      <c r="X49" s="7701"/>
      <c r="Y49" s="7701"/>
      <c r="Z49" s="7701"/>
      <c r="AA49" s="7701"/>
      <c r="AB49" s="7702"/>
      <c r="AC49" s="7700" t="s">
        <v>633</v>
      </c>
      <c r="AD49" s="7701"/>
      <c r="AE49" s="7701"/>
      <c r="AF49" s="7701"/>
      <c r="AG49" s="7701"/>
      <c r="AH49" s="7701"/>
      <c r="AI49" s="7701"/>
      <c r="AJ49" s="7700"/>
      <c r="AK49" s="7701"/>
      <c r="AL49" s="7701"/>
      <c r="AM49" s="7701"/>
      <c r="AN49" s="7701"/>
      <c r="AO49" s="7701"/>
      <c r="AP49" s="7702"/>
      <c r="AQ49" s="7700"/>
      <c r="AR49" s="7701"/>
      <c r="AS49" s="7701"/>
      <c r="AT49" s="7701"/>
      <c r="AU49" s="7701"/>
      <c r="AV49" s="7701"/>
      <c r="AW49" s="7702"/>
      <c r="AX49" s="7700"/>
      <c r="AY49" s="7701"/>
      <c r="AZ49" s="7701"/>
      <c r="BA49" s="7701"/>
      <c r="BB49" s="7701"/>
      <c r="BC49" s="7701"/>
      <c r="BD49" s="7702"/>
      <c r="BE49" s="7700"/>
      <c r="BF49" s="7701"/>
      <c r="BG49" s="7701"/>
      <c r="BH49" s="7701"/>
      <c r="BI49" s="7701"/>
      <c r="BJ49" s="7701"/>
      <c r="BK49" s="7702"/>
      <c r="BL49" s="7700"/>
      <c r="BM49" s="7701"/>
      <c r="BN49" s="7701"/>
      <c r="BO49" s="7701"/>
      <c r="BP49" s="7701"/>
      <c r="BQ49" s="7701"/>
      <c r="BR49" s="7702"/>
      <c r="BS49" s="7700"/>
      <c r="BT49" s="7701"/>
      <c r="BU49" s="7701"/>
      <c r="BV49" s="7701"/>
      <c r="BW49" s="7701"/>
      <c r="BX49" s="7701"/>
      <c r="BY49" s="7702"/>
      <c r="BZ49" s="7700"/>
      <c r="CA49" s="7701"/>
      <c r="CB49" s="7701"/>
      <c r="CC49" s="7701"/>
      <c r="CD49" s="7701"/>
      <c r="CE49" s="7701"/>
      <c r="CF49" s="7702"/>
      <c r="CG49" s="7700"/>
      <c r="CH49" s="7701"/>
      <c r="CI49" s="7701"/>
      <c r="CJ49" s="7701"/>
      <c r="CK49" s="7701"/>
      <c r="CL49" s="7701"/>
      <c r="CM49" s="7702"/>
      <c r="CN49" s="21045"/>
      <c r="CO49" s="21046"/>
      <c r="CP49" s="21046"/>
      <c r="CQ49" s="21046"/>
      <c r="CR49" s="21046"/>
      <c r="CS49" s="21046"/>
      <c r="CT49" s="21047"/>
      <c r="CU49" s="7702"/>
      <c r="CV49" s="7993" t="s">
        <v>621</v>
      </c>
      <c r="CW49" s="7898"/>
      <c r="CX49" s="7994"/>
      <c r="CY49" s="7994" t="str">
        <f>IF(T49="","",T49)</f>
        <v>Группа потребителей</v>
      </c>
      <c r="CZ49" s="7994"/>
      <c r="DA49" s="7994"/>
      <c r="DB49" s="7684">
        <v>0</v>
      </c>
    </row>
    <row s="52377" customFormat="1" customHeight="1" ht="14.25">
      <c r="A50" s="7981"/>
      <c r="B50" s="7981"/>
      <c r="C50" s="7981"/>
      <c r="D50" s="7981"/>
      <c r="E50" s="7982"/>
      <c r="F50" s="7982"/>
      <c r="G50" s="7982"/>
      <c r="H50" s="7982"/>
      <c r="I50" s="7983"/>
      <c r="J50" s="7983" t="str">
        <f>I44&amp;".1"</f>
        <v>1.1.1.1.1</v>
      </c>
      <c r="K50" s="7984" t="str">
        <f>J49&amp;".1"</f>
        <v>1.1.1.1.2.1</v>
      </c>
      <c r="L50" s="7985"/>
      <c r="M50" s="7986"/>
      <c r="N50" s="7986"/>
      <c r="O50" s="7986"/>
      <c r="P50" s="7987"/>
      <c r="Q50" s="7987"/>
      <c r="R50" s="7989">
        <v>1</v>
      </c>
      <c r="S50" s="7990" t="str">
        <f>$K50</f>
        <v>1.1.1.1.2.1</v>
      </c>
      <c r="T50" s="7996" t="s">
        <v>615</v>
      </c>
      <c r="U50" s="7992"/>
      <c r="V50" s="7704"/>
      <c r="W50" s="7704"/>
      <c r="X50" s="7705"/>
      <c r="Y50" s="7706"/>
      <c r="Z50" s="7707" t="s">
        <v>63</v>
      </c>
      <c r="AA50" s="7706"/>
      <c r="AB50" s="7707" t="s">
        <v>63</v>
      </c>
      <c r="AC50" s="7704">
        <v>41.8</v>
      </c>
      <c r="AD50" s="7704"/>
      <c r="AE50" s="7705"/>
      <c r="AF50" s="21055">
        <v>45292.71760416667</v>
      </c>
      <c r="AG50" s="7707" t="s">
        <v>63</v>
      </c>
      <c r="AH50" s="21321">
        <v>45473.71774305555</v>
      </c>
      <c r="AI50" s="7707" t="s">
        <v>63</v>
      </c>
      <c r="AJ50" s="7704">
        <v>50.16</v>
      </c>
      <c r="AK50" s="7704"/>
      <c r="AL50" s="7705"/>
      <c r="AM50" s="21055">
        <v>45474.72038194445</v>
      </c>
      <c r="AN50" s="7707" t="s">
        <v>63</v>
      </c>
      <c r="AO50" s="21055">
        <v>45657.720509259256</v>
      </c>
      <c r="AP50" s="7707" t="s">
        <v>63</v>
      </c>
      <c r="AQ50" s="7704">
        <v>50.16</v>
      </c>
      <c r="AR50" s="7704"/>
      <c r="AS50" s="7705"/>
      <c r="AT50" s="21055">
        <v>45658.73694444444</v>
      </c>
      <c r="AU50" s="7707" t="s">
        <v>63</v>
      </c>
      <c r="AV50" s="21055">
        <v>45838.73706018519</v>
      </c>
      <c r="AW50" s="7707" t="s">
        <v>63</v>
      </c>
      <c r="AX50" s="7704">
        <v>58.18</v>
      </c>
      <c r="AY50" s="7704"/>
      <c r="AZ50" s="7705"/>
      <c r="BA50" s="21055">
        <v>45839.73751157407</v>
      </c>
      <c r="BB50" s="7707" t="s">
        <v>63</v>
      </c>
      <c r="BC50" s="21055">
        <v>46022.737650462965</v>
      </c>
      <c r="BD50" s="7707" t="s">
        <v>63</v>
      </c>
      <c r="BE50" s="7704">
        <v>58.18</v>
      </c>
      <c r="BF50" s="7704"/>
      <c r="BG50" s="7705"/>
      <c r="BH50" s="21055">
        <v>46023.73806712963</v>
      </c>
      <c r="BI50" s="7707" t="s">
        <v>63</v>
      </c>
      <c r="BJ50" s="21055">
        <v>46203.73826388889</v>
      </c>
      <c r="BK50" s="7707" t="s">
        <v>63</v>
      </c>
      <c r="BL50" s="7704">
        <v>61.67</v>
      </c>
      <c r="BM50" s="7704"/>
      <c r="BN50" s="7705"/>
      <c r="BO50" s="21055">
        <v>46204.73869212963</v>
      </c>
      <c r="BP50" s="7707" t="s">
        <v>63</v>
      </c>
      <c r="BQ50" s="21055">
        <v>46387.7390625</v>
      </c>
      <c r="BR50" s="7707" t="s">
        <v>63</v>
      </c>
      <c r="BS50" s="7704">
        <v>61.67</v>
      </c>
      <c r="BT50" s="7704"/>
      <c r="BU50" s="7705"/>
      <c r="BV50" s="21055">
        <v>46388.73952546297</v>
      </c>
      <c r="BW50" s="7707" t="s">
        <v>63</v>
      </c>
      <c r="BX50" s="21055">
        <v>46568.74025462963</v>
      </c>
      <c r="BY50" s="7707" t="s">
        <v>63</v>
      </c>
      <c r="BZ50" s="7704">
        <v>65.99</v>
      </c>
      <c r="CA50" s="7704"/>
      <c r="CB50" s="7705"/>
      <c r="CC50" s="21055">
        <v>46569.74068287037</v>
      </c>
      <c r="CD50" s="7707" t="s">
        <v>63</v>
      </c>
      <c r="CE50" s="21055">
        <v>46752.740960648145</v>
      </c>
      <c r="CF50" s="7707" t="s">
        <v>63</v>
      </c>
      <c r="CG50" s="7704">
        <v>65.99</v>
      </c>
      <c r="CH50" s="7704"/>
      <c r="CI50" s="7705"/>
      <c r="CJ50" s="21055">
        <v>46753.74144675926</v>
      </c>
      <c r="CK50" s="7707" t="s">
        <v>63</v>
      </c>
      <c r="CL50" s="21055">
        <v>46934.74170138889</v>
      </c>
      <c r="CM50" s="7707" t="s">
        <v>63</v>
      </c>
      <c r="CN50" s="21053">
        <v>68.88</v>
      </c>
      <c r="CO50" s="21053"/>
      <c r="CP50" s="21054"/>
      <c r="CQ50" s="21055">
        <v>46569.45412037037</v>
      </c>
      <c r="CR50" s="21056" t="s">
        <v>63</v>
      </c>
      <c r="CS50" s="21055">
        <v>47118.4543287037</v>
      </c>
      <c r="CT50" s="21056" t="s">
        <v>63</v>
      </c>
      <c r="CU50" s="7997"/>
      <c r="CV50" s="79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7898">
        <f>STRCHECKDATE(V51:CU51)</f>
      </c>
      <c r="CX50" s="7994"/>
      <c r="CY50" s="7994" t="str">
        <f>IF(T50="","",T50)</f>
        <v>без НДС</v>
      </c>
      <c r="CZ50" s="7994"/>
      <c r="DA50" s="7994"/>
      <c r="DB50" s="7684">
        <v>0</v>
      </c>
    </row>
    <row s="52381" customFormat="1" customHeight="1" ht="14.25">
      <c r="A51" s="7981"/>
      <c r="B51" s="7981"/>
      <c r="C51" s="7981"/>
      <c r="D51" s="7981"/>
      <c r="E51" s="7982"/>
      <c r="F51" s="7982"/>
      <c r="G51" s="7982"/>
      <c r="H51" s="7982"/>
      <c r="I51" s="7983"/>
      <c r="J51" s="7983" t="str">
        <f>I44&amp;".1"</f>
        <v>1.1.1.1.1</v>
      </c>
      <c r="K51" s="7984"/>
      <c r="L51" s="7985"/>
      <c r="M51" s="7986"/>
      <c r="N51" s="7986"/>
      <c r="O51" s="7986"/>
      <c r="P51" s="7987"/>
      <c r="Q51" s="7987"/>
      <c r="R51" s="7989"/>
      <c r="S51" s="8000"/>
      <c r="T51" s="7992"/>
      <c r="U51" s="7992"/>
      <c r="V51" s="7711"/>
      <c r="W51" s="7711"/>
      <c r="X51" s="7712" t="str">
        <f>Y50&amp;"-"&amp;AA50</f>
        <v>-</v>
      </c>
      <c r="Y51" s="7713"/>
      <c r="Z51" s="7707"/>
      <c r="AA51" s="7713"/>
      <c r="AB51" s="7707"/>
      <c r="AC51" s="7711"/>
      <c r="AD51" s="7711"/>
      <c r="AE51" s="7712" t="str">
        <f>AF50&amp;"-"&amp;AH50</f>
        <v>45292.71760416667-45473.71774305555</v>
      </c>
      <c r="AF51" s="7713"/>
      <c r="AG51" s="7707"/>
      <c r="AH51" s="7923"/>
      <c r="AI51" s="7707"/>
      <c r="AJ51" s="7711"/>
      <c r="AK51" s="7711"/>
      <c r="AL51" s="7712" t="str">
        <f>AM50&amp;"-"&amp;AO50</f>
        <v>45474.72038194445-45657.720509259256</v>
      </c>
      <c r="AM51" s="7713"/>
      <c r="AN51" s="7707"/>
      <c r="AO51" s="7713"/>
      <c r="AP51" s="7707"/>
      <c r="AQ51" s="7711"/>
      <c r="AR51" s="7711"/>
      <c r="AS51" s="7712" t="str">
        <f>AT50&amp;"-"&amp;AV50</f>
        <v>45658.73694444444-45838.73706018519</v>
      </c>
      <c r="AT51" s="7713"/>
      <c r="AU51" s="7707"/>
      <c r="AV51" s="7713"/>
      <c r="AW51" s="7707"/>
      <c r="AX51" s="7711"/>
      <c r="AY51" s="7711"/>
      <c r="AZ51" s="7712" t="str">
        <f>BA50&amp;"-"&amp;BC50</f>
        <v>45839.73751157407-46022.737650462965</v>
      </c>
      <c r="BA51" s="7713"/>
      <c r="BB51" s="7707"/>
      <c r="BC51" s="7713"/>
      <c r="BD51" s="7707"/>
      <c r="BE51" s="7711"/>
      <c r="BF51" s="7711"/>
      <c r="BG51" s="7712" t="str">
        <f>BH50&amp;"-"&amp;BJ50</f>
        <v>46023.73806712963-46203.73826388889</v>
      </c>
      <c r="BH51" s="7713"/>
      <c r="BI51" s="7707"/>
      <c r="BJ51" s="7713"/>
      <c r="BK51" s="7707"/>
      <c r="BL51" s="7711"/>
      <c r="BM51" s="7711"/>
      <c r="BN51" s="7712" t="str">
        <f>BO50&amp;"-"&amp;BQ50</f>
        <v>46204.73869212963-46387.7390625</v>
      </c>
      <c r="BO51" s="7713"/>
      <c r="BP51" s="7707"/>
      <c r="BQ51" s="7713"/>
      <c r="BR51" s="7707"/>
      <c r="BS51" s="7711"/>
      <c r="BT51" s="7711"/>
      <c r="BU51" s="7712" t="str">
        <f>BV50&amp;"-"&amp;BX50</f>
        <v>46388.73952546297-46568.74025462963</v>
      </c>
      <c r="BV51" s="7713"/>
      <c r="BW51" s="7707"/>
      <c r="BX51" s="7713"/>
      <c r="BY51" s="7707"/>
      <c r="BZ51" s="7711"/>
      <c r="CA51" s="7711"/>
      <c r="CB51" s="7712" t="str">
        <f>CC50&amp;"-"&amp;CE50</f>
        <v>46569.74068287037-46752.740960648145</v>
      </c>
      <c r="CC51" s="7713"/>
      <c r="CD51" s="7707"/>
      <c r="CE51" s="7713"/>
      <c r="CF51" s="7707"/>
      <c r="CG51" s="7711"/>
      <c r="CH51" s="7711"/>
      <c r="CI51" s="7712" t="str">
        <f>CJ50&amp;"-"&amp;CL50</f>
        <v>46753.74144675926-46934.74170138889</v>
      </c>
      <c r="CJ51" s="7713"/>
      <c r="CK51" s="7707"/>
      <c r="CL51" s="7713"/>
      <c r="CM51" s="7707"/>
      <c r="CN51" s="21063"/>
      <c r="CO51" s="21063"/>
      <c r="CP51" s="21064" t="str">
        <f>CQ50&amp;"-"&amp;CS50</f>
        <v>46569.45412037037-47118.4543287037</v>
      </c>
      <c r="CQ51" s="21065"/>
      <c r="CR51" s="21056"/>
      <c r="CS51" s="21065"/>
      <c r="CT51" s="21056"/>
      <c r="CU51" s="8001"/>
      <c r="CV51" s="7998"/>
      <c r="CW51" s="7898"/>
      <c r="CX51" s="7994"/>
      <c r="CY51" s="7994" t="str">
        <f>IF(T51="","",T51)</f>
        <v/>
      </c>
      <c r="CZ51" s="7994"/>
      <c r="DA51" s="7994"/>
      <c r="DB51" s="7684">
        <v>0</v>
      </c>
    </row>
    <row s="52384" customFormat="1" customHeight="1" ht="21">
      <c r="A52" s="7981"/>
      <c r="B52" s="7981"/>
      <c r="C52" s="7981"/>
      <c r="D52" s="7981"/>
      <c r="E52" s="7982"/>
      <c r="F52" s="7982"/>
      <c r="G52" s="7982"/>
      <c r="H52" s="7982"/>
      <c r="I52" s="7983"/>
      <c r="J52" s="7984" t="str">
        <f>I44&amp;".1"</f>
        <v>1.1.1.1.1</v>
      </c>
      <c r="K52" s="7981"/>
      <c r="L52" s="7985"/>
      <c r="M52" s="7986"/>
      <c r="N52" s="7986"/>
      <c r="O52" s="7986"/>
      <c r="P52" s="7987"/>
      <c r="Q52" s="7987"/>
      <c r="R52" s="8003"/>
      <c r="S52" s="8004"/>
      <c r="T52" s="8005" t="s">
        <v>622</v>
      </c>
      <c r="U52" s="8006"/>
      <c r="V52" s="8007"/>
      <c r="W52" s="8008"/>
      <c r="X52" s="8009"/>
      <c r="Y52" s="8010"/>
      <c r="Z52" s="8011"/>
      <c r="AA52" s="8012"/>
      <c r="AB52" s="8013"/>
      <c r="AC52" s="8014"/>
      <c r="AD52" s="8015"/>
      <c r="AE52" s="8016"/>
      <c r="AF52" s="8017"/>
      <c r="AG52" s="8018"/>
      <c r="AH52" s="8019"/>
      <c r="AI52" s="8020"/>
      <c r="AJ52" s="8021"/>
      <c r="AK52" s="8022"/>
      <c r="AL52" s="8023"/>
      <c r="AM52" s="8024"/>
      <c r="AN52" s="8025"/>
      <c r="AO52" s="8026"/>
      <c r="AP52" s="8027"/>
      <c r="AQ52" s="8028"/>
      <c r="AR52" s="8029"/>
      <c r="AS52" s="8030"/>
      <c r="AT52" s="8031"/>
      <c r="AU52" s="8032"/>
      <c r="AV52" s="8033"/>
      <c r="AW52" s="8034"/>
      <c r="AX52" s="8035"/>
      <c r="AY52" s="8036"/>
      <c r="AZ52" s="8037"/>
      <c r="BA52" s="8038"/>
      <c r="BB52" s="8039"/>
      <c r="BC52" s="8040"/>
      <c r="BD52" s="8041"/>
      <c r="BE52" s="8042"/>
      <c r="BF52" s="8043"/>
      <c r="BG52" s="8044"/>
      <c r="BH52" s="8045"/>
      <c r="BI52" s="8046"/>
      <c r="BJ52" s="8047"/>
      <c r="BK52" s="8048"/>
      <c r="BL52" s="8049"/>
      <c r="BM52" s="8050"/>
      <c r="BN52" s="8051"/>
      <c r="BO52" s="8052"/>
      <c r="BP52" s="8053"/>
      <c r="BQ52" s="8054"/>
      <c r="BR52" s="8055"/>
      <c r="BS52" s="8056"/>
      <c r="BT52" s="8057"/>
      <c r="BU52" s="8058"/>
      <c r="BV52" s="8059"/>
      <c r="BW52" s="8060"/>
      <c r="BX52" s="8061"/>
      <c r="BY52" s="8062"/>
      <c r="BZ52" s="8063"/>
      <c r="CA52" s="8064"/>
      <c r="CB52" s="8065"/>
      <c r="CC52" s="8066"/>
      <c r="CD52" s="8067"/>
      <c r="CE52" s="8068"/>
      <c r="CF52" s="8069"/>
      <c r="CG52" s="8070"/>
      <c r="CH52" s="8071"/>
      <c r="CI52" s="8072"/>
      <c r="CJ52" s="8073"/>
      <c r="CK52" s="8074"/>
      <c r="CL52" s="8075"/>
      <c r="CM52" s="8076"/>
      <c r="CN52" s="21485"/>
      <c r="CO52" s="21486"/>
      <c r="CP52" s="21487"/>
      <c r="CQ52" s="21488"/>
      <c r="CR52" s="21489"/>
      <c r="CS52" s="21490"/>
      <c r="CT52" s="21491"/>
      <c r="CU52" s="8077"/>
      <c r="CV52" s="8078" t="s">
        <v>623</v>
      </c>
      <c r="CW52" s="7898"/>
      <c r="CX52" s="7994"/>
      <c r="CY52" s="7994" t="str">
        <f>IF(T52="","",T52)</f>
        <v>Добавить значение признака дифференциации</v>
      </c>
      <c r="CZ52" s="7994"/>
      <c r="DA52" s="7994"/>
      <c r="DB52" s="7684">
        <v>0</v>
      </c>
    </row>
    <row customHeight="1" ht="22.049999999999997">
      <c r="A53" s="1875" t="s">
        <v>287</v>
      </c>
      <c r="B53" s="1875" t="s">
        <v>288</v>
      </c>
      <c r="C53" s="1875" t="s">
        <v>289</v>
      </c>
      <c r="D53" s="1875" t="s">
        <v>631</v>
      </c>
      <c r="E53" s="2771"/>
      <c r="F53" s="2771"/>
      <c r="G53" s="2771"/>
      <c r="H53" s="2771"/>
      <c r="I53" s="2768"/>
      <c r="J53" s="1875"/>
      <c r="K53" s="1875"/>
      <c r="L53" s="1876"/>
      <c r="P53" s="2769"/>
      <c r="Q53" s="1866"/>
      <c r="R53" s="868"/>
      <c r="S53" s="1790"/>
      <c r="T53" s="877" t="s">
        <v>551</v>
      </c>
      <c r="U53" s="879"/>
      <c r="V53" s="879"/>
      <c r="W53" s="879"/>
      <c r="X53" s="879"/>
      <c r="Y53" s="879"/>
      <c r="Z53" s="879"/>
      <c r="AA53" s="879"/>
      <c r="AB53" s="878"/>
      <c r="AC53" s="879"/>
      <c r="AD53" s="879"/>
      <c r="AE53" s="879"/>
      <c r="AF53" s="879"/>
      <c r="AG53" s="879"/>
      <c r="AH53" s="879"/>
      <c r="AI53" s="878"/>
      <c r="AJ53" s="8079"/>
      <c r="AK53" s="8080"/>
      <c r="AL53" s="8081"/>
      <c r="AM53" s="8082"/>
      <c r="AN53" s="8083"/>
      <c r="AO53" s="8084"/>
      <c r="AP53" s="8085"/>
      <c r="AQ53" s="8086"/>
      <c r="AR53" s="8087"/>
      <c r="AS53" s="8088"/>
      <c r="AT53" s="8089"/>
      <c r="AU53" s="8090"/>
      <c r="AV53" s="8091"/>
      <c r="AW53" s="8092"/>
      <c r="AX53" s="8093"/>
      <c r="AY53" s="8094"/>
      <c r="AZ53" s="8095"/>
      <c r="BA53" s="8096"/>
      <c r="BB53" s="8097"/>
      <c r="BC53" s="8098"/>
      <c r="BD53" s="8099"/>
      <c r="BE53" s="8100"/>
      <c r="BF53" s="8101"/>
      <c r="BG53" s="8102"/>
      <c r="BH53" s="8103"/>
      <c r="BI53" s="8104"/>
      <c r="BJ53" s="8105"/>
      <c r="BK53" s="8106"/>
      <c r="BL53" s="8107"/>
      <c r="BM53" s="8108"/>
      <c r="BN53" s="8109"/>
      <c r="BO53" s="8110"/>
      <c r="BP53" s="8111"/>
      <c r="BQ53" s="8112"/>
      <c r="BR53" s="8113"/>
      <c r="BS53" s="8114"/>
      <c r="BT53" s="8115"/>
      <c r="BU53" s="8116"/>
      <c r="BV53" s="8117"/>
      <c r="BW53" s="8118"/>
      <c r="BX53" s="8119"/>
      <c r="BY53" s="8120"/>
      <c r="BZ53" s="8121"/>
      <c r="CA53" s="8122"/>
      <c r="CB53" s="8123"/>
      <c r="CC53" s="8124"/>
      <c r="CD53" s="8125"/>
      <c r="CE53" s="8126"/>
      <c r="CF53" s="8127"/>
      <c r="CG53" s="8128"/>
      <c r="CH53" s="8129"/>
      <c r="CI53" s="8130"/>
      <c r="CJ53" s="8131"/>
      <c r="CK53" s="8132"/>
      <c r="CL53" s="8133"/>
      <c r="CM53" s="8134"/>
      <c r="CN53" s="21550"/>
      <c r="CO53" s="21551"/>
      <c r="CP53" s="21552"/>
      <c r="CQ53" s="21553"/>
      <c r="CR53" s="21554"/>
      <c r="CS53" s="21555"/>
      <c r="CT53" s="21556"/>
      <c r="CU53" s="879"/>
      <c r="CV53" s="1952"/>
      <c r="CX53" s="1012"/>
      <c r="CY53" s="1012" t="str">
        <f>IF(T53="","",T53)</f>
        <v>Добавить группу потребителей</v>
      </c>
      <c r="CZ53" s="1012"/>
      <c r="DA53" s="1012"/>
      <c r="DB53" s="1667">
        <v>21</v>
      </c>
    </row>
    <row customHeight="1" ht="22.049999999999997">
      <c r="A54" s="1875" t="s">
        <v>287</v>
      </c>
      <c r="B54" s="1875" t="s">
        <v>288</v>
      </c>
      <c r="C54" s="1875" t="s">
        <v>289</v>
      </c>
      <c r="D54" s="1875" t="s">
        <v>631</v>
      </c>
      <c r="E54" s="2771"/>
      <c r="F54" s="2771"/>
      <c r="G54" s="2771"/>
      <c r="H54" s="2770"/>
      <c r="I54" s="1875"/>
      <c r="J54" s="1875"/>
      <c r="K54" s="1875"/>
      <c r="L54" s="1876"/>
      <c r="M54" s="1877"/>
      <c r="N54" s="1877"/>
      <c r="O54" s="1049"/>
      <c r="P54" s="872"/>
      <c r="Q54" s="887"/>
      <c r="R54" s="867"/>
      <c r="S54" s="1790"/>
      <c r="T54" s="884" t="s">
        <v>624</v>
      </c>
      <c r="U54" s="879"/>
      <c r="V54" s="879"/>
      <c r="W54" s="879"/>
      <c r="X54" s="879"/>
      <c r="Y54" s="879"/>
      <c r="Z54" s="879"/>
      <c r="AA54" s="879"/>
      <c r="AB54" s="878"/>
      <c r="AC54" s="879"/>
      <c r="AD54" s="879"/>
      <c r="AE54" s="879"/>
      <c r="AF54" s="879"/>
      <c r="AG54" s="879"/>
      <c r="AH54" s="879"/>
      <c r="AI54" s="878"/>
      <c r="AJ54" s="8135"/>
      <c r="AK54" s="8136"/>
      <c r="AL54" s="8137"/>
      <c r="AM54" s="8138"/>
      <c r="AN54" s="8139"/>
      <c r="AO54" s="8140"/>
      <c r="AP54" s="8141"/>
      <c r="AQ54" s="8142"/>
      <c r="AR54" s="8143"/>
      <c r="AS54" s="8144"/>
      <c r="AT54" s="8145"/>
      <c r="AU54" s="8146"/>
      <c r="AV54" s="8147"/>
      <c r="AW54" s="8148"/>
      <c r="AX54" s="8149"/>
      <c r="AY54" s="8150"/>
      <c r="AZ54" s="8151"/>
      <c r="BA54" s="8152"/>
      <c r="BB54" s="8153"/>
      <c r="BC54" s="8154"/>
      <c r="BD54" s="8155"/>
      <c r="BE54" s="8156"/>
      <c r="BF54" s="8157"/>
      <c r="BG54" s="8158"/>
      <c r="BH54" s="8159"/>
      <c r="BI54" s="8160"/>
      <c r="BJ54" s="8161"/>
      <c r="BK54" s="8162"/>
      <c r="BL54" s="8163"/>
      <c r="BM54" s="8164"/>
      <c r="BN54" s="8165"/>
      <c r="BO54" s="8166"/>
      <c r="BP54" s="8167"/>
      <c r="BQ54" s="8168"/>
      <c r="BR54" s="8169"/>
      <c r="BS54" s="8170"/>
      <c r="BT54" s="8171"/>
      <c r="BU54" s="8172"/>
      <c r="BV54" s="8173"/>
      <c r="BW54" s="8174"/>
      <c r="BX54" s="8175"/>
      <c r="BY54" s="8176"/>
      <c r="BZ54" s="8177"/>
      <c r="CA54" s="8178"/>
      <c r="CB54" s="8179"/>
      <c r="CC54" s="8180"/>
      <c r="CD54" s="8181"/>
      <c r="CE54" s="8182"/>
      <c r="CF54" s="8183"/>
      <c r="CG54" s="8184"/>
      <c r="CH54" s="8185"/>
      <c r="CI54" s="8186"/>
      <c r="CJ54" s="8187"/>
      <c r="CK54" s="8188"/>
      <c r="CL54" s="8189"/>
      <c r="CM54" s="8190"/>
      <c r="CN54" s="21613"/>
      <c r="CO54" s="21614"/>
      <c r="CP54" s="21615"/>
      <c r="CQ54" s="21616"/>
      <c r="CR54" s="21617"/>
      <c r="CS54" s="21618"/>
      <c r="CT54" s="21619"/>
      <c r="CU54" s="879"/>
      <c r="CV54" s="815"/>
      <c r="CX54" s="1012"/>
      <c r="CY54" s="1012" t="str">
        <f>IF(T54="","",T54)</f>
        <v>Добавить наименование признака дифференциации</v>
      </c>
      <c r="CZ54" s="1012"/>
      <c r="DA54" s="1012"/>
      <c r="DB54" s="1667">
        <v>21</v>
      </c>
    </row>
    <row s="50882" customFormat="1" customHeight="1" ht="0">
      <c r="A55" s="1855" t="s">
        <v>287</v>
      </c>
      <c r="B55" s="1855" t="s">
        <v>288</v>
      </c>
      <c r="C55" s="1826"/>
      <c r="D55" s="1826"/>
      <c r="E55" s="2771"/>
      <c r="F55" s="2770"/>
      <c r="G55" s="1826"/>
      <c r="H55" s="1826"/>
      <c r="I55" s="1826"/>
      <c r="J55" s="1826"/>
      <c r="K55" s="1826"/>
      <c r="L55" s="1938"/>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7886"/>
      <c r="AK55" s="7886"/>
      <c r="AL55" s="7886"/>
      <c r="AM55" s="7886"/>
      <c r="AN55" s="7886"/>
      <c r="AO55" s="7886"/>
      <c r="AP55" s="7886"/>
      <c r="AQ55" s="7886"/>
      <c r="AR55" s="7886"/>
      <c r="AS55" s="7886"/>
      <c r="AT55" s="7886"/>
      <c r="AU55" s="7886"/>
      <c r="AV55" s="7886"/>
      <c r="AW55" s="7886"/>
      <c r="AX55" s="7886"/>
      <c r="AY55" s="7886"/>
      <c r="AZ55" s="7886"/>
      <c r="BA55" s="7886"/>
      <c r="BB55" s="7886"/>
      <c r="BC55" s="7886"/>
      <c r="BD55" s="7886"/>
      <c r="BE55" s="7886"/>
      <c r="BF55" s="7886"/>
      <c r="BG55" s="7886"/>
      <c r="BH55" s="7886"/>
      <c r="BI55" s="7886"/>
      <c r="BJ55" s="7886"/>
      <c r="BK55" s="7886"/>
      <c r="BL55" s="7886"/>
      <c r="BM55" s="7886"/>
      <c r="BN55" s="7886"/>
      <c r="BO55" s="7886"/>
      <c r="BP55" s="7886"/>
      <c r="BQ55" s="7886"/>
      <c r="BR55" s="7886"/>
      <c r="BS55" s="7886"/>
      <c r="BT55" s="7886"/>
      <c r="BU55" s="7886"/>
      <c r="BV55" s="7886"/>
      <c r="BW55" s="7886"/>
      <c r="BX55" s="7886"/>
      <c r="BY55" s="7886"/>
      <c r="BZ55" s="7886"/>
      <c r="CA55" s="7886"/>
      <c r="CB55" s="7886"/>
      <c r="CC55" s="7886"/>
      <c r="CD55" s="7886"/>
      <c r="CE55" s="7886"/>
      <c r="CF55" s="7886"/>
      <c r="CG55" s="7886"/>
      <c r="CH55" s="7886"/>
      <c r="CI55" s="7886"/>
      <c r="CJ55" s="7886"/>
      <c r="CK55" s="7886"/>
      <c r="CL55" s="7886"/>
      <c r="CM55" s="7886"/>
      <c r="CN55" s="21260"/>
      <c r="CO55" s="21260"/>
      <c r="CP55" s="21260"/>
      <c r="CQ55" s="21260"/>
      <c r="CR55" s="21260"/>
      <c r="CS55" s="21260"/>
      <c r="CT55" s="21260"/>
      <c r="CU55" s="1836"/>
      <c r="CV55" s="1836"/>
      <c r="CX55" s="1301"/>
      <c r="CY55" s="1301" t="str">
        <f>IF(T55="","",T55)</f>
        <v>Добавить централизованную систему для дифференциации</v>
      </c>
      <c r="CZ55" s="1301"/>
      <c r="DA55" s="1301"/>
      <c r="DB55" s="1030">
        <v>0</v>
      </c>
    </row>
    <row s="52594" customFormat="1" customHeight="1" ht="23.25">
      <c r="A56" s="21621"/>
      <c r="B56" s="21621" t="s">
        <v>292</v>
      </c>
      <c r="C56" s="21621"/>
      <c r="D56" s="21621"/>
      <c r="E56" s="21622"/>
      <c r="F56" s="21623" t="s">
        <v>105</v>
      </c>
      <c r="G56" s="21621"/>
      <c r="H56" s="21621"/>
      <c r="I56" s="21621"/>
      <c r="J56" s="21621"/>
      <c r="K56" s="21621"/>
      <c r="L56" s="21624"/>
      <c r="M56" s="21625"/>
      <c r="N56" s="21625"/>
      <c r="O56" s="21625"/>
      <c r="P56" s="21626"/>
      <c r="Q56" s="21627"/>
      <c r="R56" s="21628"/>
      <c r="S56" s="21629" t="str">
        <f>INDEX(PT_DIFFERENTIATION_NUM_TER,MATCH(B56,PT_DIFFERENTIATION_TER_ID,0))</f>
        <v>1.2</v>
      </c>
      <c r="T56" s="21630" t="s">
        <v>536</v>
      </c>
      <c r="U56" s="21631"/>
      <c r="V56" s="21025"/>
      <c r="W56" s="21026"/>
      <c r="X56" s="21026"/>
      <c r="Y56" s="21026"/>
      <c r="Z56" s="21026"/>
      <c r="AA56" s="21026"/>
      <c r="AB56" s="21027"/>
      <c r="AC56" s="21025" t="str">
        <f>INDEX(PT_DIFFERENTIATION_TER,MATCH(B56,PT_DIFFERENTIATION_TER_ID,0))</f>
        <v>Территория 2</v>
      </c>
      <c r="AD56" s="21026"/>
      <c r="AE56" s="21026"/>
      <c r="AF56" s="21026"/>
      <c r="AG56" s="21026"/>
      <c r="AH56" s="21026"/>
      <c r="AI56" s="21026"/>
      <c r="AJ56" s="21025"/>
      <c r="AK56" s="21026"/>
      <c r="AL56" s="21026"/>
      <c r="AM56" s="21026"/>
      <c r="AN56" s="21026"/>
      <c r="AO56" s="21026"/>
      <c r="AP56" s="21027"/>
      <c r="AQ56" s="21025"/>
      <c r="AR56" s="21026"/>
      <c r="AS56" s="21026"/>
      <c r="AT56" s="21026"/>
      <c r="AU56" s="21026"/>
      <c r="AV56" s="21026"/>
      <c r="AW56" s="21027"/>
      <c r="AX56" s="21025"/>
      <c r="AY56" s="21026"/>
      <c r="AZ56" s="21026"/>
      <c r="BA56" s="21026"/>
      <c r="BB56" s="21026"/>
      <c r="BC56" s="21026"/>
      <c r="BD56" s="21027"/>
      <c r="BE56" s="21025"/>
      <c r="BF56" s="21026"/>
      <c r="BG56" s="21026"/>
      <c r="BH56" s="21026"/>
      <c r="BI56" s="21026"/>
      <c r="BJ56" s="21026"/>
      <c r="BK56" s="21027"/>
      <c r="BL56" s="21025"/>
      <c r="BM56" s="21026"/>
      <c r="BN56" s="21026"/>
      <c r="BO56" s="21026"/>
      <c r="BP56" s="21026"/>
      <c r="BQ56" s="21026"/>
      <c r="BR56" s="21027"/>
      <c r="BS56" s="21025"/>
      <c r="BT56" s="21026"/>
      <c r="BU56" s="21026"/>
      <c r="BV56" s="21026"/>
      <c r="BW56" s="21026"/>
      <c r="BX56" s="21026"/>
      <c r="BY56" s="21027"/>
      <c r="BZ56" s="21025"/>
      <c r="CA56" s="21026"/>
      <c r="CB56" s="21026"/>
      <c r="CC56" s="21026"/>
      <c r="CD56" s="21026"/>
      <c r="CE56" s="21026"/>
      <c r="CF56" s="21027"/>
      <c r="CG56" s="21025"/>
      <c r="CH56" s="21026"/>
      <c r="CI56" s="21026"/>
      <c r="CJ56" s="21026"/>
      <c r="CK56" s="21026"/>
      <c r="CL56" s="21026"/>
      <c r="CM56" s="21027"/>
      <c r="CN56" s="21025"/>
      <c r="CO56" s="21026"/>
      <c r="CP56" s="21026"/>
      <c r="CQ56" s="21026"/>
      <c r="CR56" s="21026"/>
      <c r="CS56" s="21026"/>
      <c r="CT56" s="21027"/>
      <c r="CU56" s="21027"/>
      <c r="CV56" s="21632" t="s">
        <v>537</v>
      </c>
      <c r="CW56" s="21281"/>
      <c r="CX56" s="21633"/>
      <c r="CY56" s="21633" t="str">
        <f>IF(T56="","",T56)</f>
        <v>Территория действия тарифа</v>
      </c>
      <c r="CZ56" s="21633"/>
      <c r="DA56" s="21633"/>
      <c r="DB56" s="21020">
        <v>0</v>
      </c>
    </row>
    <row s="52608" customFormat="1" customHeight="1" ht="23.25">
      <c r="A57" s="21621"/>
      <c r="B57" s="21621"/>
      <c r="C57" s="21621" t="s">
        <v>293</v>
      </c>
      <c r="D57" s="21621"/>
      <c r="E57" s="21622"/>
      <c r="F57" s="21622">
        <v>1</v>
      </c>
      <c r="G57" s="21623">
        <v>1</v>
      </c>
      <c r="H57" s="21621"/>
      <c r="I57" s="21621"/>
      <c r="J57" s="21621"/>
      <c r="K57" s="21621"/>
      <c r="L57" s="21624"/>
      <c r="M57" s="21625"/>
      <c r="N57" s="21625"/>
      <c r="O57" s="21625"/>
      <c r="P57" s="21635"/>
      <c r="Q57" s="21627"/>
      <c r="R57" s="21628"/>
      <c r="S57" s="21629" t="str">
        <f>INDEX(PT_DIFFERENTIATION_NUM_CS,MATCH(C57,PT_DIFFERENTIATION_CS_ID,0))</f>
        <v>1.2.1</v>
      </c>
      <c r="T57" s="21636" t="s">
        <v>617</v>
      </c>
      <c r="U57" s="21631"/>
      <c r="V57" s="21025"/>
      <c r="W57" s="21026"/>
      <c r="X57" s="21026"/>
      <c r="Y57" s="21026"/>
      <c r="Z57" s="21026"/>
      <c r="AA57" s="21026"/>
      <c r="AB57" s="21027"/>
      <c r="AC57" s="21025" t="str">
        <f>INDEX(PT_DIFFERENTIATION_CS,MATCH(C57,PT_DIFFERENTIATION_CS_ID,0))</f>
        <v>с. Глубинное</v>
      </c>
      <c r="AD57" s="21026"/>
      <c r="AE57" s="21026"/>
      <c r="AF57" s="21026"/>
      <c r="AG57" s="21026"/>
      <c r="AH57" s="21026"/>
      <c r="AI57" s="21026"/>
      <c r="AJ57" s="21025"/>
      <c r="AK57" s="21026"/>
      <c r="AL57" s="21026"/>
      <c r="AM57" s="21026"/>
      <c r="AN57" s="21026"/>
      <c r="AO57" s="21026"/>
      <c r="AP57" s="21027"/>
      <c r="AQ57" s="21025"/>
      <c r="AR57" s="21026"/>
      <c r="AS57" s="21026"/>
      <c r="AT57" s="21026"/>
      <c r="AU57" s="21026"/>
      <c r="AV57" s="21026"/>
      <c r="AW57" s="21027"/>
      <c r="AX57" s="21025"/>
      <c r="AY57" s="21026"/>
      <c r="AZ57" s="21026"/>
      <c r="BA57" s="21026"/>
      <c r="BB57" s="21026"/>
      <c r="BC57" s="21026"/>
      <c r="BD57" s="21027"/>
      <c r="BE57" s="21025"/>
      <c r="BF57" s="21026"/>
      <c r="BG57" s="21026"/>
      <c r="BH57" s="21026"/>
      <c r="BI57" s="21026"/>
      <c r="BJ57" s="21026"/>
      <c r="BK57" s="21027"/>
      <c r="BL57" s="21025"/>
      <c r="BM57" s="21026"/>
      <c r="BN57" s="21026"/>
      <c r="BO57" s="21026"/>
      <c r="BP57" s="21026"/>
      <c r="BQ57" s="21026"/>
      <c r="BR57" s="21027"/>
      <c r="BS57" s="21025"/>
      <c r="BT57" s="21026"/>
      <c r="BU57" s="21026"/>
      <c r="BV57" s="21026"/>
      <c r="BW57" s="21026"/>
      <c r="BX57" s="21026"/>
      <c r="BY57" s="21027"/>
      <c r="BZ57" s="21025"/>
      <c r="CA57" s="21026"/>
      <c r="CB57" s="21026"/>
      <c r="CC57" s="21026"/>
      <c r="CD57" s="21026"/>
      <c r="CE57" s="21026"/>
      <c r="CF57" s="21027"/>
      <c r="CG57" s="21025"/>
      <c r="CH57" s="21026"/>
      <c r="CI57" s="21026"/>
      <c r="CJ57" s="21026"/>
      <c r="CK57" s="21026"/>
      <c r="CL57" s="21026"/>
      <c r="CM57" s="21027"/>
      <c r="CN57" s="21025"/>
      <c r="CO57" s="21026"/>
      <c r="CP57" s="21026"/>
      <c r="CQ57" s="21026"/>
      <c r="CR57" s="21026"/>
      <c r="CS57" s="21026"/>
      <c r="CT57" s="21027"/>
      <c r="CU57" s="21027"/>
      <c r="CV57" s="21632" t="s">
        <v>618</v>
      </c>
      <c r="CW57" s="21281"/>
      <c r="CX57" s="21633"/>
      <c r="CY57" s="21633" t="str">
        <f>IF(T57="","",T57)</f>
        <v>Наименование централизованной системы холодного водоснабжения</v>
      </c>
      <c r="CZ57" s="21633"/>
      <c r="DA57" s="21633"/>
      <c r="DB57" s="21020">
        <v>0</v>
      </c>
    </row>
    <row s="52611" customFormat="1" customHeight="1" ht="23.25">
      <c r="A58" s="21621"/>
      <c r="B58" s="21621"/>
      <c r="C58" s="21621"/>
      <c r="D58" s="21621"/>
      <c r="E58" s="21622"/>
      <c r="F58" s="21622">
        <v>1</v>
      </c>
      <c r="G58" s="21622"/>
      <c r="H58" s="21622"/>
      <c r="I58" s="21638" t="str">
        <f>S57&amp;".1"</f>
        <v>1.2.1.1</v>
      </c>
      <c r="J58" s="21621"/>
      <c r="K58" s="21621"/>
      <c r="L58" s="21624"/>
      <c r="M58" s="21639"/>
      <c r="N58" s="21639"/>
      <c r="O58" s="21639"/>
      <c r="P58" s="21640">
        <v>1</v>
      </c>
      <c r="Q58" s="21640"/>
      <c r="R58" s="21641"/>
      <c r="S58" s="21629" t="str">
        <f>$I58</f>
        <v>1.2.1.1</v>
      </c>
      <c r="T58" s="21642" t="s">
        <v>619</v>
      </c>
      <c r="U58" s="21631"/>
      <c r="V58" s="21038"/>
      <c r="W58" s="21039"/>
      <c r="X58" s="21039"/>
      <c r="Y58" s="21039"/>
      <c r="Z58" s="21039"/>
      <c r="AA58" s="21039"/>
      <c r="AB58" s="21040"/>
      <c r="AC58" s="21643"/>
      <c r="AD58" s="21644"/>
      <c r="AE58" s="21644"/>
      <c r="AF58" s="21644"/>
      <c r="AG58" s="21644"/>
      <c r="AH58" s="21644"/>
      <c r="AI58" s="21644"/>
      <c r="AJ58" s="21038"/>
      <c r="AK58" s="21039"/>
      <c r="AL58" s="21039"/>
      <c r="AM58" s="21039"/>
      <c r="AN58" s="21039"/>
      <c r="AO58" s="21039"/>
      <c r="AP58" s="21040"/>
      <c r="AQ58" s="21038"/>
      <c r="AR58" s="21039"/>
      <c r="AS58" s="21039"/>
      <c r="AT58" s="21039"/>
      <c r="AU58" s="21039"/>
      <c r="AV58" s="21039"/>
      <c r="AW58" s="21040"/>
      <c r="AX58" s="21038"/>
      <c r="AY58" s="21039"/>
      <c r="AZ58" s="21039"/>
      <c r="BA58" s="21039"/>
      <c r="BB58" s="21039"/>
      <c r="BC58" s="21039"/>
      <c r="BD58" s="21040"/>
      <c r="BE58" s="21038"/>
      <c r="BF58" s="21039"/>
      <c r="BG58" s="21039"/>
      <c r="BH58" s="21039"/>
      <c r="BI58" s="21039"/>
      <c r="BJ58" s="21039"/>
      <c r="BK58" s="21040"/>
      <c r="BL58" s="21038"/>
      <c r="BM58" s="21039"/>
      <c r="BN58" s="21039"/>
      <c r="BO58" s="21039"/>
      <c r="BP58" s="21039"/>
      <c r="BQ58" s="21039"/>
      <c r="BR58" s="21040"/>
      <c r="BS58" s="21038"/>
      <c r="BT58" s="21039"/>
      <c r="BU58" s="21039"/>
      <c r="BV58" s="21039"/>
      <c r="BW58" s="21039"/>
      <c r="BX58" s="21039"/>
      <c r="BY58" s="21040"/>
      <c r="BZ58" s="21038"/>
      <c r="CA58" s="21039"/>
      <c r="CB58" s="21039"/>
      <c r="CC58" s="21039"/>
      <c r="CD58" s="21039"/>
      <c r="CE58" s="21039"/>
      <c r="CF58" s="21040"/>
      <c r="CG58" s="21038"/>
      <c r="CH58" s="21039"/>
      <c r="CI58" s="21039"/>
      <c r="CJ58" s="21039"/>
      <c r="CK58" s="21039"/>
      <c r="CL58" s="21039"/>
      <c r="CM58" s="21040"/>
      <c r="CN58" s="21038"/>
      <c r="CO58" s="21039"/>
      <c r="CP58" s="21039"/>
      <c r="CQ58" s="21039"/>
      <c r="CR58" s="21039"/>
      <c r="CS58" s="21039"/>
      <c r="CT58" s="21040"/>
      <c r="CU58" s="21645"/>
      <c r="CV58" s="21632" t="s">
        <v>620</v>
      </c>
      <c r="CW58" s="21281"/>
      <c r="CX58" s="21633"/>
      <c r="CY58" s="21633" t="str">
        <f>IF(T58="","",T58)</f>
        <v>Наименование признака дифференциации</v>
      </c>
      <c r="CZ58" s="21633"/>
      <c r="DA58" s="21633"/>
      <c r="DB58" s="21020">
        <v>0</v>
      </c>
    </row>
    <row s="52620" customFormat="1" customHeight="1" ht="23.25">
      <c r="A59" s="21621"/>
      <c r="B59" s="21621"/>
      <c r="C59" s="21621"/>
      <c r="D59" s="21621"/>
      <c r="E59" s="21622"/>
      <c r="F59" s="21622">
        <v>1</v>
      </c>
      <c r="G59" s="21622"/>
      <c r="H59" s="21622"/>
      <c r="I59" s="21647"/>
      <c r="J59" s="21638" t="str">
        <f>I58&amp;".1"</f>
        <v>1.2.1.1.1</v>
      </c>
      <c r="K59" s="21621"/>
      <c r="L59" s="21624" t="s">
        <v>545</v>
      </c>
      <c r="M59" s="21639"/>
      <c r="N59" s="21639"/>
      <c r="O59" s="21639"/>
      <c r="P59" s="21640"/>
      <c r="Q59" s="21640">
        <v>1</v>
      </c>
      <c r="R59" s="21648"/>
      <c r="S59" s="21629" t="str">
        <f>$J59</f>
        <v>1.2.1.1.1</v>
      </c>
      <c r="T59" s="21649" t="s">
        <v>546</v>
      </c>
      <c r="U59" s="21631"/>
      <c r="V59" s="21045"/>
      <c r="W59" s="21046"/>
      <c r="X59" s="21046"/>
      <c r="Y59" s="21046"/>
      <c r="Z59" s="21046"/>
      <c r="AA59" s="21046"/>
      <c r="AB59" s="21047"/>
      <c r="AC59" s="21045" t="s">
        <v>632</v>
      </c>
      <c r="AD59" s="21046"/>
      <c r="AE59" s="21046"/>
      <c r="AF59" s="21046"/>
      <c r="AG59" s="21046"/>
      <c r="AH59" s="21046"/>
      <c r="AI59" s="21046"/>
      <c r="AJ59" s="21045"/>
      <c r="AK59" s="21046"/>
      <c r="AL59" s="21046"/>
      <c r="AM59" s="21046"/>
      <c r="AN59" s="21046"/>
      <c r="AO59" s="21046"/>
      <c r="AP59" s="21047"/>
      <c r="AQ59" s="21045"/>
      <c r="AR59" s="21046"/>
      <c r="AS59" s="21046"/>
      <c r="AT59" s="21046"/>
      <c r="AU59" s="21046"/>
      <c r="AV59" s="21046"/>
      <c r="AW59" s="21047"/>
      <c r="AX59" s="21045"/>
      <c r="AY59" s="21046"/>
      <c r="AZ59" s="21046"/>
      <c r="BA59" s="21046"/>
      <c r="BB59" s="21046"/>
      <c r="BC59" s="21046"/>
      <c r="BD59" s="21047"/>
      <c r="BE59" s="21045"/>
      <c r="BF59" s="21046"/>
      <c r="BG59" s="21046"/>
      <c r="BH59" s="21046"/>
      <c r="BI59" s="21046"/>
      <c r="BJ59" s="21046"/>
      <c r="BK59" s="21047"/>
      <c r="BL59" s="21045"/>
      <c r="BM59" s="21046"/>
      <c r="BN59" s="21046"/>
      <c r="BO59" s="21046"/>
      <c r="BP59" s="21046"/>
      <c r="BQ59" s="21046"/>
      <c r="BR59" s="21047"/>
      <c r="BS59" s="21045"/>
      <c r="BT59" s="21046"/>
      <c r="BU59" s="21046"/>
      <c r="BV59" s="21046"/>
      <c r="BW59" s="21046"/>
      <c r="BX59" s="21046"/>
      <c r="BY59" s="21047"/>
      <c r="BZ59" s="21045"/>
      <c r="CA59" s="21046"/>
      <c r="CB59" s="21046"/>
      <c r="CC59" s="21046"/>
      <c r="CD59" s="21046"/>
      <c r="CE59" s="21046"/>
      <c r="CF59" s="21047"/>
      <c r="CG59" s="21045"/>
      <c r="CH59" s="21046"/>
      <c r="CI59" s="21046"/>
      <c r="CJ59" s="21046"/>
      <c r="CK59" s="21046"/>
      <c r="CL59" s="21046"/>
      <c r="CM59" s="21047"/>
      <c r="CN59" s="21045"/>
      <c r="CO59" s="21046"/>
      <c r="CP59" s="21046"/>
      <c r="CQ59" s="21046"/>
      <c r="CR59" s="21046"/>
      <c r="CS59" s="21046"/>
      <c r="CT59" s="21047"/>
      <c r="CU59" s="21047"/>
      <c r="CV59" s="21650" t="s">
        <v>621</v>
      </c>
      <c r="CW59" s="21281"/>
      <c r="CX59" s="21633"/>
      <c r="CY59" s="21633" t="str">
        <f>IF(T59="","",T59)</f>
        <v>Группа потребителей</v>
      </c>
      <c r="CZ59" s="21633"/>
      <c r="DA59" s="21633"/>
      <c r="DB59" s="21020">
        <v>0</v>
      </c>
    </row>
    <row s="52625" customFormat="1" customHeight="1" ht="23.25">
      <c r="A60" s="21621"/>
      <c r="B60" s="21621"/>
      <c r="C60" s="21621"/>
      <c r="D60" s="21621"/>
      <c r="E60" s="21622"/>
      <c r="F60" s="21622">
        <v>1</v>
      </c>
      <c r="G60" s="21622"/>
      <c r="H60" s="21622"/>
      <c r="I60" s="21647"/>
      <c r="J60" s="21647"/>
      <c r="K60" s="21638" t="str">
        <f>J59&amp;".1"</f>
        <v>1.2.1.1.1.1</v>
      </c>
      <c r="L60" s="21624"/>
      <c r="M60" s="21639"/>
      <c r="N60" s="21639"/>
      <c r="O60" s="21639"/>
      <c r="P60" s="21640"/>
      <c r="Q60" s="21640"/>
      <c r="R60" s="21648">
        <v>1</v>
      </c>
      <c r="S60" s="21629" t="str">
        <f>$K60</f>
        <v>1.2.1.1.1.1</v>
      </c>
      <c r="T60" s="21652"/>
      <c r="U60" s="21631"/>
      <c r="V60" s="21053"/>
      <c r="W60" s="21053"/>
      <c r="X60" s="21054"/>
      <c r="Y60" s="21055"/>
      <c r="Z60" s="21056" t="s">
        <v>63</v>
      </c>
      <c r="AA60" s="21055"/>
      <c r="AB60" s="21056" t="s">
        <v>63</v>
      </c>
      <c r="AC60" s="21053">
        <v>65.98</v>
      </c>
      <c r="AD60" s="21053"/>
      <c r="AE60" s="21054"/>
      <c r="AF60" s="21055">
        <v>45292.46957175926</v>
      </c>
      <c r="AG60" s="21056" t="s">
        <v>63</v>
      </c>
      <c r="AH60" s="21321">
        <v>45473.469664351855</v>
      </c>
      <c r="AI60" s="21056" t="s">
        <v>63</v>
      </c>
      <c r="AJ60" s="21053">
        <v>72.58</v>
      </c>
      <c r="AK60" s="21053"/>
      <c r="AL60" s="21054"/>
      <c r="AM60" s="21055">
        <v>45474.46984953704</v>
      </c>
      <c r="AN60" s="21056" t="s">
        <v>63</v>
      </c>
      <c r="AO60" s="21055">
        <v>45657.47002314815</v>
      </c>
      <c r="AP60" s="21056" t="s">
        <v>63</v>
      </c>
      <c r="AQ60" s="21053">
        <v>72.58</v>
      </c>
      <c r="AR60" s="21053"/>
      <c r="AS60" s="21054"/>
      <c r="AT60" s="21055">
        <v>45658.47076388889</v>
      </c>
      <c r="AU60" s="21056" t="s">
        <v>63</v>
      </c>
      <c r="AV60" s="21055">
        <v>45838.470925925925</v>
      </c>
      <c r="AW60" s="21056" t="s">
        <v>63</v>
      </c>
      <c r="AX60" s="21053">
        <v>79.84</v>
      </c>
      <c r="AY60" s="21053"/>
      <c r="AZ60" s="21054"/>
      <c r="BA60" s="21055">
        <v>45839.47116898148</v>
      </c>
      <c r="BB60" s="21056" t="s">
        <v>63</v>
      </c>
      <c r="BC60" s="21055">
        <v>46022.47127314815</v>
      </c>
      <c r="BD60" s="21056" t="s">
        <v>63</v>
      </c>
      <c r="BE60" s="21053">
        <v>79.84</v>
      </c>
      <c r="BF60" s="21053"/>
      <c r="BG60" s="21054"/>
      <c r="BH60" s="21055">
        <v>46023.474178240744</v>
      </c>
      <c r="BI60" s="21056" t="s">
        <v>63</v>
      </c>
      <c r="BJ60" s="21055">
        <v>46203.475069444445</v>
      </c>
      <c r="BK60" s="21056" t="s">
        <v>63</v>
      </c>
      <c r="BL60" s="21053">
        <v>86.22</v>
      </c>
      <c r="BM60" s="21053"/>
      <c r="BN60" s="21054"/>
      <c r="BO60" s="21055">
        <v>46204.47583333333</v>
      </c>
      <c r="BP60" s="21056" t="s">
        <v>63</v>
      </c>
      <c r="BQ60" s="21055">
        <v>46387.47613425926</v>
      </c>
      <c r="BR60" s="21056" t="s">
        <v>63</v>
      </c>
      <c r="BS60" s="21053">
        <v>86.22</v>
      </c>
      <c r="BT60" s="21053"/>
      <c r="BU60" s="21054"/>
      <c r="BV60" s="21055">
        <v>46388.47751157408</v>
      </c>
      <c r="BW60" s="21056" t="s">
        <v>63</v>
      </c>
      <c r="BX60" s="21055">
        <v>46568.477847222224</v>
      </c>
      <c r="BY60" s="21056" t="s">
        <v>63</v>
      </c>
      <c r="BZ60" s="21053">
        <v>91.39</v>
      </c>
      <c r="CA60" s="21053"/>
      <c r="CB60" s="21054"/>
      <c r="CC60" s="21055">
        <v>46569.479479166665</v>
      </c>
      <c r="CD60" s="21056" t="s">
        <v>63</v>
      </c>
      <c r="CE60" s="21055">
        <v>46752.47975694444</v>
      </c>
      <c r="CF60" s="21056" t="s">
        <v>63</v>
      </c>
      <c r="CG60" s="21053">
        <v>91.39</v>
      </c>
      <c r="CH60" s="21053"/>
      <c r="CI60" s="21054"/>
      <c r="CJ60" s="21055">
        <v>46753.48024305556</v>
      </c>
      <c r="CK60" s="21056" t="s">
        <v>63</v>
      </c>
      <c r="CL60" s="21055">
        <v>46934.480532407404</v>
      </c>
      <c r="CM60" s="21056" t="s">
        <v>63</v>
      </c>
      <c r="CN60" s="21053">
        <v>95.02</v>
      </c>
      <c r="CO60" s="21053"/>
      <c r="CP60" s="21054"/>
      <c r="CQ60" s="21055">
        <v>46935.481203703705</v>
      </c>
      <c r="CR60" s="21056" t="s">
        <v>63</v>
      </c>
      <c r="CS60" s="21055">
        <v>47118.481516203705</v>
      </c>
      <c r="CT60" s="21056" t="s">
        <v>63</v>
      </c>
      <c r="CU60" s="21653"/>
      <c r="CV60"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0" s="21281">
        <f>STRCHECKDATE(V61:CU61)</f>
      </c>
      <c r="CX60" s="21633"/>
      <c r="CY60" s="21633" t="str">
        <f>IF(T60="","",T60)</f>
        <v/>
      </c>
      <c r="CZ60" s="21633"/>
      <c r="DA60" s="21633"/>
      <c r="DB60" s="21020">
        <v>0</v>
      </c>
    </row>
    <row s="52629" customFormat="1" customHeight="1" ht="14.25">
      <c r="A61" s="21621"/>
      <c r="B61" s="21621"/>
      <c r="C61" s="21621"/>
      <c r="D61" s="21621"/>
      <c r="E61" s="21622"/>
      <c r="F61" s="21622">
        <v>1</v>
      </c>
      <c r="G61" s="21622"/>
      <c r="H61" s="21622"/>
      <c r="I61" s="21647"/>
      <c r="J61" s="21647"/>
      <c r="K61" s="21638"/>
      <c r="L61" s="21624"/>
      <c r="M61" s="21639"/>
      <c r="N61" s="21639"/>
      <c r="O61" s="21639"/>
      <c r="P61" s="21640"/>
      <c r="Q61" s="21640"/>
      <c r="R61" s="21648"/>
      <c r="S61" s="21656"/>
      <c r="T61" s="21631"/>
      <c r="U61" s="21631"/>
      <c r="V61" s="21063"/>
      <c r="W61" s="21063"/>
      <c r="X61" s="21064" t="str">
        <f>Y60&amp;"-"&amp;AA60</f>
        <v>-</v>
      </c>
      <c r="Y61" s="21065"/>
      <c r="Z61" s="21056"/>
      <c r="AA61" s="21065"/>
      <c r="AB61" s="21056"/>
      <c r="AC61" s="21063"/>
      <c r="AD61" s="21063"/>
      <c r="AE61" s="21064" t="str">
        <f>AF60&amp;"-"&amp;AH60</f>
        <v>45292.46957175926-45473.469664351855</v>
      </c>
      <c r="AF61" s="21065"/>
      <c r="AG61" s="21056"/>
      <c r="AH61" s="21324"/>
      <c r="AI61" s="21056"/>
      <c r="AJ61" s="21063"/>
      <c r="AK61" s="21063"/>
      <c r="AL61" s="21064" t="str">
        <f>AM60&amp;"-"&amp;AO60</f>
        <v>45474.46984953704-45657.47002314815</v>
      </c>
      <c r="AM61" s="21065"/>
      <c r="AN61" s="21056"/>
      <c r="AO61" s="21065"/>
      <c r="AP61" s="21056"/>
      <c r="AQ61" s="21063"/>
      <c r="AR61" s="21063"/>
      <c r="AS61" s="21064" t="str">
        <f>AT60&amp;"-"&amp;AV60</f>
        <v>45658.47076388889-45838.470925925925</v>
      </c>
      <c r="AT61" s="21065"/>
      <c r="AU61" s="21056"/>
      <c r="AV61" s="21065"/>
      <c r="AW61" s="21056"/>
      <c r="AX61" s="21063"/>
      <c r="AY61" s="21063"/>
      <c r="AZ61" s="21064" t="str">
        <f>BA60&amp;"-"&amp;BC60</f>
        <v>45839.47116898148-46022.47127314815</v>
      </c>
      <c r="BA61" s="21065"/>
      <c r="BB61" s="21056"/>
      <c r="BC61" s="21065"/>
      <c r="BD61" s="21056"/>
      <c r="BE61" s="21063"/>
      <c r="BF61" s="21063"/>
      <c r="BG61" s="21064" t="str">
        <f>BH60&amp;"-"&amp;BJ60</f>
        <v>46023.474178240744-46203.475069444445</v>
      </c>
      <c r="BH61" s="21065"/>
      <c r="BI61" s="21056"/>
      <c r="BJ61" s="21065"/>
      <c r="BK61" s="21056"/>
      <c r="BL61" s="21063"/>
      <c r="BM61" s="21063"/>
      <c r="BN61" s="21064" t="str">
        <f>BO60&amp;"-"&amp;BQ60</f>
        <v>46204.47583333333-46387.47613425926</v>
      </c>
      <c r="BO61" s="21065"/>
      <c r="BP61" s="21056"/>
      <c r="BQ61" s="21065"/>
      <c r="BR61" s="21056"/>
      <c r="BS61" s="21063"/>
      <c r="BT61" s="21063"/>
      <c r="BU61" s="21064" t="str">
        <f>BV60&amp;"-"&amp;BX60</f>
        <v>46388.47751157408-46568.477847222224</v>
      </c>
      <c r="BV61" s="21065"/>
      <c r="BW61" s="21056"/>
      <c r="BX61" s="21065"/>
      <c r="BY61" s="21056"/>
      <c r="BZ61" s="21063"/>
      <c r="CA61" s="21063"/>
      <c r="CB61" s="21064" t="str">
        <f>CC60&amp;"-"&amp;CE60</f>
        <v>46569.479479166665-46752.47975694444</v>
      </c>
      <c r="CC61" s="21065"/>
      <c r="CD61" s="21056"/>
      <c r="CE61" s="21065"/>
      <c r="CF61" s="21056"/>
      <c r="CG61" s="21063"/>
      <c r="CH61" s="21063"/>
      <c r="CI61" s="21064" t="str">
        <f>CJ60&amp;"-"&amp;CL60</f>
        <v>46753.48024305556-46934.480532407404</v>
      </c>
      <c r="CJ61" s="21065"/>
      <c r="CK61" s="21056"/>
      <c r="CL61" s="21065"/>
      <c r="CM61" s="21056"/>
      <c r="CN61" s="21063"/>
      <c r="CO61" s="21063"/>
      <c r="CP61" s="21064" t="str">
        <f>CQ60&amp;"-"&amp;CS60</f>
        <v>46935.481203703705-47118.481516203705</v>
      </c>
      <c r="CQ61" s="21065"/>
      <c r="CR61" s="21056"/>
      <c r="CS61" s="21065"/>
      <c r="CT61" s="21056"/>
      <c r="CU61" s="21657"/>
      <c r="CV61" s="21654"/>
      <c r="CW61" s="21281"/>
      <c r="CX61" s="21633"/>
      <c r="CY61" s="21633" t="str">
        <f>IF(T61="","",T61)</f>
        <v/>
      </c>
      <c r="CZ61" s="21633"/>
      <c r="DA61" s="21633"/>
      <c r="DB61" s="21020">
        <v>0</v>
      </c>
    </row>
    <row s="52632" customFormat="1" customHeight="1" ht="21">
      <c r="A62" s="21621"/>
      <c r="B62" s="21621"/>
      <c r="C62" s="21621"/>
      <c r="D62" s="21621"/>
      <c r="E62" s="21622"/>
      <c r="F62" s="21622">
        <v>1</v>
      </c>
      <c r="G62" s="21622"/>
      <c r="H62" s="21622"/>
      <c r="I62" s="21647"/>
      <c r="J62" s="21638"/>
      <c r="K62" s="21621"/>
      <c r="L62" s="21624"/>
      <c r="M62" s="21639"/>
      <c r="N62" s="21639"/>
      <c r="O62" s="21639"/>
      <c r="P62" s="21640"/>
      <c r="Q62" s="21640"/>
      <c r="R62" s="21641"/>
      <c r="S62" s="21659"/>
      <c r="T62" s="21660" t="s">
        <v>622</v>
      </c>
      <c r="U62" s="21661"/>
      <c r="V62" s="21662"/>
      <c r="W62" s="21663"/>
      <c r="X62" s="21664"/>
      <c r="Y62" s="21665"/>
      <c r="Z62" s="21666"/>
      <c r="AA62" s="21667"/>
      <c r="AB62" s="21668"/>
      <c r="AC62" s="21669"/>
      <c r="AD62" s="21670"/>
      <c r="AE62" s="21671"/>
      <c r="AF62" s="21672"/>
      <c r="AG62" s="21673"/>
      <c r="AH62" s="21674"/>
      <c r="AI62" s="21675"/>
      <c r="AJ62" s="21676"/>
      <c r="AK62" s="21677"/>
      <c r="AL62" s="21678"/>
      <c r="AM62" s="21679"/>
      <c r="AN62" s="21680"/>
      <c r="AO62" s="21681"/>
      <c r="AP62" s="21682"/>
      <c r="AQ62" s="21683"/>
      <c r="AR62" s="21684"/>
      <c r="AS62" s="21685"/>
      <c r="AT62" s="21686"/>
      <c r="AU62" s="21687"/>
      <c r="AV62" s="21688"/>
      <c r="AW62" s="21689"/>
      <c r="AX62" s="21690"/>
      <c r="AY62" s="21691"/>
      <c r="AZ62" s="21692"/>
      <c r="BA62" s="21693"/>
      <c r="BB62" s="21694"/>
      <c r="BC62" s="21695"/>
      <c r="BD62" s="21696"/>
      <c r="BE62" s="21697"/>
      <c r="BF62" s="21698"/>
      <c r="BG62" s="21699"/>
      <c r="BH62" s="21700"/>
      <c r="BI62" s="21701"/>
      <c r="BJ62" s="21702"/>
      <c r="BK62" s="21703"/>
      <c r="BL62" s="21704"/>
      <c r="BM62" s="21705"/>
      <c r="BN62" s="21706"/>
      <c r="BO62" s="21707"/>
      <c r="BP62" s="21708"/>
      <c r="BQ62" s="21709"/>
      <c r="BR62" s="21710"/>
      <c r="BS62" s="21711"/>
      <c r="BT62" s="21712"/>
      <c r="BU62" s="21713"/>
      <c r="BV62" s="21714"/>
      <c r="BW62" s="21715"/>
      <c r="BX62" s="21716"/>
      <c r="BY62" s="21717"/>
      <c r="BZ62" s="21718"/>
      <c r="CA62" s="21719"/>
      <c r="CB62" s="21720"/>
      <c r="CC62" s="21721"/>
      <c r="CD62" s="21722"/>
      <c r="CE62" s="21723"/>
      <c r="CF62" s="21724"/>
      <c r="CG62" s="21725"/>
      <c r="CH62" s="21726"/>
      <c r="CI62" s="21727"/>
      <c r="CJ62" s="21728"/>
      <c r="CK62" s="21729"/>
      <c r="CL62" s="21730"/>
      <c r="CM62" s="21731"/>
      <c r="CN62" s="21732"/>
      <c r="CO62" s="21733"/>
      <c r="CP62" s="21734"/>
      <c r="CQ62" s="21735"/>
      <c r="CR62" s="21736"/>
      <c r="CS62" s="21737"/>
      <c r="CT62" s="21738"/>
      <c r="CU62" s="21739"/>
      <c r="CV62" s="21632" t="s">
        <v>623</v>
      </c>
      <c r="CW62" s="21281"/>
      <c r="CX62" s="21633"/>
      <c r="CY62" s="21633" t="str">
        <f>IF(T62="","",T62)</f>
        <v>Добавить значение признака дифференциации</v>
      </c>
      <c r="CZ62" s="21633"/>
      <c r="DA62" s="21633"/>
      <c r="DB62" s="21020">
        <v>0</v>
      </c>
    </row>
    <row s="52714" customFormat="1" customHeight="1" ht="23.25">
      <c r="A63" s="21621"/>
      <c r="B63" s="21621"/>
      <c r="C63" s="21621"/>
      <c r="D63" s="21621"/>
      <c r="E63" s="21622"/>
      <c r="F63" s="21622"/>
      <c r="G63" s="21622"/>
      <c r="H63" s="21622"/>
      <c r="I63" s="21647"/>
      <c r="J63" s="21638" t="str">
        <f>I58&amp;".2"</f>
        <v>1.2.1.1.2</v>
      </c>
      <c r="K63" s="21621"/>
      <c r="L63" s="21624" t="s">
        <v>545</v>
      </c>
      <c r="M63" s="21639"/>
      <c r="N63" s="21639"/>
      <c r="O63" s="21639"/>
      <c r="P63" s="21640"/>
      <c r="Q63" s="21741" t="s">
        <v>106</v>
      </c>
      <c r="R63" s="21648"/>
      <c r="S63" s="21629" t="str">
        <f>$J63</f>
        <v>1.2.1.1.2</v>
      </c>
      <c r="T63" s="21649" t="s">
        <v>546</v>
      </c>
      <c r="U63" s="21631"/>
      <c r="V63" s="21045"/>
      <c r="W63" s="21046"/>
      <c r="X63" s="21046"/>
      <c r="Y63" s="21046"/>
      <c r="Z63" s="21046"/>
      <c r="AA63" s="21046"/>
      <c r="AB63" s="21047"/>
      <c r="AC63" s="21045" t="s">
        <v>633</v>
      </c>
      <c r="AD63" s="21046"/>
      <c r="AE63" s="21046"/>
      <c r="AF63" s="21046"/>
      <c r="AG63" s="21046"/>
      <c r="AH63" s="21046"/>
      <c r="AI63" s="21046"/>
      <c r="AJ63" s="21045"/>
      <c r="AK63" s="21046"/>
      <c r="AL63" s="21046"/>
      <c r="AM63" s="21046"/>
      <c r="AN63" s="21046"/>
      <c r="AO63" s="21046"/>
      <c r="AP63" s="21047"/>
      <c r="AQ63" s="21045"/>
      <c r="AR63" s="21046"/>
      <c r="AS63" s="21046"/>
      <c r="AT63" s="21046"/>
      <c r="AU63" s="21046"/>
      <c r="AV63" s="21046"/>
      <c r="AW63" s="21047"/>
      <c r="AX63" s="21045"/>
      <c r="AY63" s="21046"/>
      <c r="AZ63" s="21046"/>
      <c r="BA63" s="21046"/>
      <c r="BB63" s="21046"/>
      <c r="BC63" s="21046"/>
      <c r="BD63" s="21047"/>
      <c r="BE63" s="21045"/>
      <c r="BF63" s="21046"/>
      <c r="BG63" s="21046"/>
      <c r="BH63" s="21046"/>
      <c r="BI63" s="21046"/>
      <c r="BJ63" s="21046"/>
      <c r="BK63" s="21047"/>
      <c r="BL63" s="21045"/>
      <c r="BM63" s="21046"/>
      <c r="BN63" s="21046"/>
      <c r="BO63" s="21046"/>
      <c r="BP63" s="21046"/>
      <c r="BQ63" s="21046"/>
      <c r="BR63" s="21047"/>
      <c r="BS63" s="21045"/>
      <c r="BT63" s="21046"/>
      <c r="BU63" s="21046"/>
      <c r="BV63" s="21046"/>
      <c r="BW63" s="21046"/>
      <c r="BX63" s="21046"/>
      <c r="BY63" s="21047"/>
      <c r="BZ63" s="21045"/>
      <c r="CA63" s="21046"/>
      <c r="CB63" s="21046"/>
      <c r="CC63" s="21046"/>
      <c r="CD63" s="21046"/>
      <c r="CE63" s="21046"/>
      <c r="CF63" s="21047"/>
      <c r="CG63" s="21045"/>
      <c r="CH63" s="21046"/>
      <c r="CI63" s="21046"/>
      <c r="CJ63" s="21046"/>
      <c r="CK63" s="21046"/>
      <c r="CL63" s="21046"/>
      <c r="CM63" s="21047"/>
      <c r="CN63" s="21045"/>
      <c r="CO63" s="21046"/>
      <c r="CP63" s="21046"/>
      <c r="CQ63" s="21046"/>
      <c r="CR63" s="21046"/>
      <c r="CS63" s="21046"/>
      <c r="CT63" s="21047"/>
      <c r="CU63" s="21047"/>
      <c r="CV63" s="21650" t="s">
        <v>621</v>
      </c>
      <c r="CW63" s="21281"/>
      <c r="CX63" s="21633"/>
      <c r="CY63" s="21633" t="str">
        <f>IF(T63="","",T63)</f>
        <v>Группа потребителей</v>
      </c>
      <c r="CZ63" s="21633"/>
      <c r="DA63" s="21633"/>
      <c r="DB63" s="21020">
        <v>0</v>
      </c>
    </row>
    <row s="52716" customFormat="1" customHeight="1" ht="23.25">
      <c r="A64" s="21621"/>
      <c r="B64" s="21621"/>
      <c r="C64" s="21621"/>
      <c r="D64" s="21621"/>
      <c r="E64" s="21622"/>
      <c r="F64" s="21622"/>
      <c r="G64" s="21622"/>
      <c r="H64" s="21622"/>
      <c r="I64" s="21647"/>
      <c r="J64" s="21647" t="str">
        <f>I58&amp;".1"</f>
        <v>1.2.1.1.1</v>
      </c>
      <c r="K64" s="21638" t="str">
        <f>J63&amp;".1"</f>
        <v>1.2.1.1.2.1</v>
      </c>
      <c r="L64" s="21624"/>
      <c r="M64" s="21639"/>
      <c r="N64" s="21639"/>
      <c r="O64" s="21639"/>
      <c r="P64" s="21640"/>
      <c r="Q64" s="21640"/>
      <c r="R64" s="21648">
        <v>1</v>
      </c>
      <c r="S64" s="21629" t="str">
        <f>$K64</f>
        <v>1.2.1.1.2.1</v>
      </c>
      <c r="T64" s="21652"/>
      <c r="U64" s="21631"/>
      <c r="V64" s="21053"/>
      <c r="W64" s="21053"/>
      <c r="X64" s="21054"/>
      <c r="Y64" s="21055"/>
      <c r="Z64" s="21056" t="s">
        <v>63</v>
      </c>
      <c r="AA64" s="21055"/>
      <c r="AB64" s="21056" t="s">
        <v>63</v>
      </c>
      <c r="AC64" s="21053">
        <v>54.98</v>
      </c>
      <c r="AD64" s="21053"/>
      <c r="AE64" s="21054"/>
      <c r="AF64" s="21055">
        <v>45292.47019675926</v>
      </c>
      <c r="AG64" s="21056" t="s">
        <v>63</v>
      </c>
      <c r="AH64" s="21321">
        <v>45473.470289351855</v>
      </c>
      <c r="AI64" s="21056" t="s">
        <v>63</v>
      </c>
      <c r="AJ64" s="21053">
        <v>60.48</v>
      </c>
      <c r="AK64" s="21053"/>
      <c r="AL64" s="21054"/>
      <c r="AM64" s="21055">
        <v>45474.47037037037</v>
      </c>
      <c r="AN64" s="21056" t="s">
        <v>63</v>
      </c>
      <c r="AO64" s="21055">
        <v>45657.47045138889</v>
      </c>
      <c r="AP64" s="21056" t="s">
        <v>63</v>
      </c>
      <c r="AQ64" s="21053">
        <v>60.48</v>
      </c>
      <c r="AR64" s="21053"/>
      <c r="AS64" s="21054"/>
      <c r="AT64" s="21055">
        <v>45658.47142361111</v>
      </c>
      <c r="AU64" s="21056" t="s">
        <v>63</v>
      </c>
      <c r="AV64" s="21055">
        <v>45838.471550925926</v>
      </c>
      <c r="AW64" s="21056" t="s">
        <v>63</v>
      </c>
      <c r="AX64" s="21053">
        <v>66.53</v>
      </c>
      <c r="AY64" s="21053"/>
      <c r="AZ64" s="21054"/>
      <c r="BA64" s="21055">
        <v>45839.47164351852</v>
      </c>
      <c r="BB64" s="21056" t="s">
        <v>63</v>
      </c>
      <c r="BC64" s="21055">
        <v>46022.47178240741</v>
      </c>
      <c r="BD64" s="21056" t="s">
        <v>63</v>
      </c>
      <c r="BE64" s="21053">
        <v>66.53</v>
      </c>
      <c r="BF64" s="21053"/>
      <c r="BG64" s="21054"/>
      <c r="BH64" s="21055">
        <v>46023.47439814815</v>
      </c>
      <c r="BI64" s="21056" t="s">
        <v>63</v>
      </c>
      <c r="BJ64" s="21055">
        <v>46203.47520833334</v>
      </c>
      <c r="BK64" s="21056" t="s">
        <v>63</v>
      </c>
      <c r="BL64" s="21053">
        <v>71.85</v>
      </c>
      <c r="BM64" s="21053"/>
      <c r="BN64" s="21054"/>
      <c r="BO64" s="21055">
        <v>46204.4759837963</v>
      </c>
      <c r="BP64" s="21056" t="s">
        <v>63</v>
      </c>
      <c r="BQ64" s="21055">
        <v>46387.47623842592</v>
      </c>
      <c r="BR64" s="21056" t="s">
        <v>63</v>
      </c>
      <c r="BS64" s="21053">
        <v>71.85</v>
      </c>
      <c r="BT64" s="21053"/>
      <c r="BU64" s="21054"/>
      <c r="BV64" s="21055">
        <v>46388.47770833333</v>
      </c>
      <c r="BW64" s="21056" t="s">
        <v>63</v>
      </c>
      <c r="BX64" s="21055">
        <v>46568.47797453704</v>
      </c>
      <c r="BY64" s="21056" t="s">
        <v>63</v>
      </c>
      <c r="BZ64" s="21053">
        <v>76.16</v>
      </c>
      <c r="CA64" s="21053"/>
      <c r="CB64" s="21054"/>
      <c r="CC64" s="21055">
        <v>46569.4796412037</v>
      </c>
      <c r="CD64" s="21056" t="s">
        <v>63</v>
      </c>
      <c r="CE64" s="21055">
        <v>46752.479837962965</v>
      </c>
      <c r="CF64" s="21056" t="s">
        <v>63</v>
      </c>
      <c r="CG64" s="21053">
        <v>76.16</v>
      </c>
      <c r="CH64" s="21053"/>
      <c r="CI64" s="21054"/>
      <c r="CJ64" s="21055">
        <v>46753.48039351852</v>
      </c>
      <c r="CK64" s="21056" t="s">
        <v>63</v>
      </c>
      <c r="CL64" s="21055">
        <v>46934.480775462966</v>
      </c>
      <c r="CM64" s="21056" t="s">
        <v>63</v>
      </c>
      <c r="CN64" s="21053">
        <v>79.18</v>
      </c>
      <c r="CO64" s="21053"/>
      <c r="CP64" s="21054"/>
      <c r="CQ64" s="21055">
        <v>46935.48134259259</v>
      </c>
      <c r="CR64" s="21056" t="s">
        <v>63</v>
      </c>
      <c r="CS64" s="21055">
        <v>47118.48158564815</v>
      </c>
      <c r="CT64" s="21056" t="s">
        <v>63</v>
      </c>
      <c r="CU64" s="21653"/>
      <c r="CV6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4" s="21281">
        <f>STRCHECKDATE(V65:CU65)</f>
      </c>
      <c r="CX64" s="21633"/>
      <c r="CY64" s="21633" t="str">
        <f>IF(T64="","",T64)</f>
        <v/>
      </c>
      <c r="CZ64" s="21633"/>
      <c r="DA64" s="21633"/>
      <c r="DB64" s="21020">
        <v>0</v>
      </c>
    </row>
    <row s="52717" customFormat="1" customHeight="1" ht="14.25">
      <c r="A65" s="21621"/>
      <c r="B65" s="21621"/>
      <c r="C65" s="21621"/>
      <c r="D65" s="21621"/>
      <c r="E65" s="21622"/>
      <c r="F65" s="21622"/>
      <c r="G65" s="21622"/>
      <c r="H65" s="21622"/>
      <c r="I65" s="21647"/>
      <c r="J65" s="21647" t="str">
        <f>I58&amp;".1"</f>
        <v>1.2.1.1.1</v>
      </c>
      <c r="K65" s="21638"/>
      <c r="L65" s="21624"/>
      <c r="M65" s="21639"/>
      <c r="N65" s="21639"/>
      <c r="O65" s="21639"/>
      <c r="P65" s="21640"/>
      <c r="Q65" s="21640"/>
      <c r="R65" s="21648"/>
      <c r="S65" s="21656"/>
      <c r="T65" s="21631"/>
      <c r="U65" s="21631"/>
      <c r="V65" s="21063"/>
      <c r="W65" s="21063"/>
      <c r="X65" s="21064" t="str">
        <f>Y64&amp;"-"&amp;AA64</f>
        <v>-</v>
      </c>
      <c r="Y65" s="21065"/>
      <c r="Z65" s="21056"/>
      <c r="AA65" s="21065"/>
      <c r="AB65" s="21056"/>
      <c r="AC65" s="21063"/>
      <c r="AD65" s="21063"/>
      <c r="AE65" s="21064" t="str">
        <f>AF64&amp;"-"&amp;AH64</f>
        <v>45292.47019675926-45473.470289351855</v>
      </c>
      <c r="AF65" s="21065"/>
      <c r="AG65" s="21056"/>
      <c r="AH65" s="21324"/>
      <c r="AI65" s="21056"/>
      <c r="AJ65" s="21063"/>
      <c r="AK65" s="21063"/>
      <c r="AL65" s="21064" t="str">
        <f>AM64&amp;"-"&amp;AO64</f>
        <v>45474.47037037037-45657.47045138889</v>
      </c>
      <c r="AM65" s="21065"/>
      <c r="AN65" s="21056"/>
      <c r="AO65" s="21065"/>
      <c r="AP65" s="21056"/>
      <c r="AQ65" s="21063"/>
      <c r="AR65" s="21063"/>
      <c r="AS65" s="21064" t="str">
        <f>AT64&amp;"-"&amp;AV64</f>
        <v>45658.47142361111-45838.471550925926</v>
      </c>
      <c r="AT65" s="21065"/>
      <c r="AU65" s="21056"/>
      <c r="AV65" s="21065"/>
      <c r="AW65" s="21056"/>
      <c r="AX65" s="21063"/>
      <c r="AY65" s="21063"/>
      <c r="AZ65" s="21064" t="str">
        <f>BA64&amp;"-"&amp;BC64</f>
        <v>45839.47164351852-46022.47178240741</v>
      </c>
      <c r="BA65" s="21065"/>
      <c r="BB65" s="21056"/>
      <c r="BC65" s="21065"/>
      <c r="BD65" s="21056"/>
      <c r="BE65" s="21063"/>
      <c r="BF65" s="21063"/>
      <c r="BG65" s="21064" t="str">
        <f>BH64&amp;"-"&amp;BJ64</f>
        <v>46023.47439814815-46203.47520833334</v>
      </c>
      <c r="BH65" s="21065"/>
      <c r="BI65" s="21056"/>
      <c r="BJ65" s="21065"/>
      <c r="BK65" s="21056"/>
      <c r="BL65" s="21063"/>
      <c r="BM65" s="21063"/>
      <c r="BN65" s="21064" t="str">
        <f>BO64&amp;"-"&amp;BQ64</f>
        <v>46204.4759837963-46387.47623842592</v>
      </c>
      <c r="BO65" s="21065"/>
      <c r="BP65" s="21056"/>
      <c r="BQ65" s="21065"/>
      <c r="BR65" s="21056"/>
      <c r="BS65" s="21063"/>
      <c r="BT65" s="21063"/>
      <c r="BU65" s="21064" t="str">
        <f>BV64&amp;"-"&amp;BX64</f>
        <v>46388.47770833333-46568.47797453704</v>
      </c>
      <c r="BV65" s="21065"/>
      <c r="BW65" s="21056"/>
      <c r="BX65" s="21065"/>
      <c r="BY65" s="21056"/>
      <c r="BZ65" s="21063"/>
      <c r="CA65" s="21063"/>
      <c r="CB65" s="21064" t="str">
        <f>CC64&amp;"-"&amp;CE64</f>
        <v>46569.4796412037-46752.479837962965</v>
      </c>
      <c r="CC65" s="21065"/>
      <c r="CD65" s="21056"/>
      <c r="CE65" s="21065"/>
      <c r="CF65" s="21056"/>
      <c r="CG65" s="21063"/>
      <c r="CH65" s="21063"/>
      <c r="CI65" s="21064" t="str">
        <f>CJ64&amp;"-"&amp;CL64</f>
        <v>46753.48039351852-46934.480775462966</v>
      </c>
      <c r="CJ65" s="21065"/>
      <c r="CK65" s="21056"/>
      <c r="CL65" s="21065"/>
      <c r="CM65" s="21056"/>
      <c r="CN65" s="21063"/>
      <c r="CO65" s="21063"/>
      <c r="CP65" s="21064" t="str">
        <f>CQ64&amp;"-"&amp;CS64</f>
        <v>46935.48134259259-47118.48158564815</v>
      </c>
      <c r="CQ65" s="21065"/>
      <c r="CR65" s="21056"/>
      <c r="CS65" s="21065"/>
      <c r="CT65" s="21056"/>
      <c r="CU65" s="21657"/>
      <c r="CV65" s="21654"/>
      <c r="CW65" s="21281"/>
      <c r="CX65" s="21633"/>
      <c r="CY65" s="21633" t="str">
        <f>IF(T65="","",T65)</f>
        <v/>
      </c>
      <c r="CZ65" s="21633"/>
      <c r="DA65" s="21633"/>
      <c r="DB65" s="21020">
        <v>0</v>
      </c>
    </row>
    <row s="52718" customFormat="1" customHeight="1" ht="21">
      <c r="A66" s="21621"/>
      <c r="B66" s="21621"/>
      <c r="C66" s="21621"/>
      <c r="D66" s="21621"/>
      <c r="E66" s="21622"/>
      <c r="F66" s="21622"/>
      <c r="G66" s="21622"/>
      <c r="H66" s="21622"/>
      <c r="I66" s="21647"/>
      <c r="J66" s="21638" t="str">
        <f>I58&amp;".1"</f>
        <v>1.2.1.1.1</v>
      </c>
      <c r="K66" s="21621"/>
      <c r="L66" s="21624"/>
      <c r="M66" s="21639"/>
      <c r="N66" s="21639"/>
      <c r="O66" s="21639"/>
      <c r="P66" s="21640"/>
      <c r="Q66" s="21640"/>
      <c r="R66" s="21641"/>
      <c r="S66" s="21745"/>
      <c r="T66" s="21746" t="s">
        <v>622</v>
      </c>
      <c r="U66" s="21747"/>
      <c r="V66" s="21748"/>
      <c r="W66" s="21749"/>
      <c r="X66" s="21750"/>
      <c r="Y66" s="21751"/>
      <c r="Z66" s="21752"/>
      <c r="AA66" s="21753"/>
      <c r="AB66" s="21754"/>
      <c r="AC66" s="21755"/>
      <c r="AD66" s="21756"/>
      <c r="AE66" s="21757"/>
      <c r="AF66" s="21758"/>
      <c r="AG66" s="21759"/>
      <c r="AH66" s="21760"/>
      <c r="AI66" s="21761"/>
      <c r="AJ66" s="21762"/>
      <c r="AK66" s="21763"/>
      <c r="AL66" s="21764"/>
      <c r="AM66" s="21765"/>
      <c r="AN66" s="21766"/>
      <c r="AO66" s="21767"/>
      <c r="AP66" s="21768"/>
      <c r="AQ66" s="21769"/>
      <c r="AR66" s="21770"/>
      <c r="AS66" s="21771"/>
      <c r="AT66" s="21772"/>
      <c r="AU66" s="21773"/>
      <c r="AV66" s="21774"/>
      <c r="AW66" s="21775"/>
      <c r="AX66" s="21776"/>
      <c r="AY66" s="21777"/>
      <c r="AZ66" s="21778"/>
      <c r="BA66" s="21779"/>
      <c r="BB66" s="21780"/>
      <c r="BC66" s="21781"/>
      <c r="BD66" s="21782"/>
      <c r="BE66" s="21783"/>
      <c r="BF66" s="21784"/>
      <c r="BG66" s="21785"/>
      <c r="BH66" s="21786"/>
      <c r="BI66" s="21787"/>
      <c r="BJ66" s="21788"/>
      <c r="BK66" s="21789"/>
      <c r="BL66" s="21790"/>
      <c r="BM66" s="21791"/>
      <c r="BN66" s="21792"/>
      <c r="BO66" s="21793"/>
      <c r="BP66" s="21794"/>
      <c r="BQ66" s="21795"/>
      <c r="BR66" s="21796"/>
      <c r="BS66" s="21797"/>
      <c r="BT66" s="21798"/>
      <c r="BU66" s="21799"/>
      <c r="BV66" s="21800"/>
      <c r="BW66" s="21801"/>
      <c r="BX66" s="21802"/>
      <c r="BY66" s="21803"/>
      <c r="BZ66" s="21804"/>
      <c r="CA66" s="21805"/>
      <c r="CB66" s="21806"/>
      <c r="CC66" s="21807"/>
      <c r="CD66" s="21808"/>
      <c r="CE66" s="21809"/>
      <c r="CF66" s="21810"/>
      <c r="CG66" s="21811"/>
      <c r="CH66" s="21812"/>
      <c r="CI66" s="21813"/>
      <c r="CJ66" s="21814"/>
      <c r="CK66" s="21815"/>
      <c r="CL66" s="21816"/>
      <c r="CM66" s="21817"/>
      <c r="CN66" s="21818"/>
      <c r="CO66" s="21819"/>
      <c r="CP66" s="21820"/>
      <c r="CQ66" s="21821"/>
      <c r="CR66" s="21822"/>
      <c r="CS66" s="21823"/>
      <c r="CT66" s="21824"/>
      <c r="CU66" s="21825"/>
      <c r="CV66" s="21632" t="s">
        <v>623</v>
      </c>
      <c r="CW66" s="21281"/>
      <c r="CX66" s="21633"/>
      <c r="CY66" s="21633" t="str">
        <f>IF(T66="","",T66)</f>
        <v>Добавить значение признака дифференциации</v>
      </c>
      <c r="CZ66" s="21633"/>
      <c r="DA66" s="21633"/>
      <c r="DB66" s="21020">
        <v>0</v>
      </c>
    </row>
    <row s="52800" customFormat="1" customHeight="1" ht="21">
      <c r="A67" s="21621"/>
      <c r="B67" s="21621"/>
      <c r="C67" s="21621"/>
      <c r="D67" s="21621"/>
      <c r="E67" s="21622"/>
      <c r="F67" s="21622">
        <v>1</v>
      </c>
      <c r="G67" s="21622"/>
      <c r="H67" s="21622"/>
      <c r="I67" s="21638"/>
      <c r="J67" s="21621"/>
      <c r="K67" s="21621"/>
      <c r="L67" s="21624"/>
      <c r="M67" s="21639"/>
      <c r="N67" s="21639"/>
      <c r="O67" s="21639"/>
      <c r="P67" s="21640"/>
      <c r="Q67" s="21640"/>
      <c r="R67" s="21641"/>
      <c r="S67" s="21827"/>
      <c r="T67" s="21828" t="s">
        <v>551</v>
      </c>
      <c r="U67" s="21829"/>
      <c r="V67" s="21830"/>
      <c r="W67" s="21831"/>
      <c r="X67" s="21832"/>
      <c r="Y67" s="21833"/>
      <c r="Z67" s="21834"/>
      <c r="AA67" s="21835"/>
      <c r="AB67" s="21836"/>
      <c r="AC67" s="21837"/>
      <c r="AD67" s="21838"/>
      <c r="AE67" s="21839"/>
      <c r="AF67" s="21840"/>
      <c r="AG67" s="21841"/>
      <c r="AH67" s="21842"/>
      <c r="AI67" s="21843"/>
      <c r="AJ67" s="21844"/>
      <c r="AK67" s="21845"/>
      <c r="AL67" s="21846"/>
      <c r="AM67" s="21847"/>
      <c r="AN67" s="21848"/>
      <c r="AO67" s="21849"/>
      <c r="AP67" s="21850"/>
      <c r="AQ67" s="21851"/>
      <c r="AR67" s="21852"/>
      <c r="AS67" s="21853"/>
      <c r="AT67" s="21854"/>
      <c r="AU67" s="21855"/>
      <c r="AV67" s="21856"/>
      <c r="AW67" s="21857"/>
      <c r="AX67" s="21858"/>
      <c r="AY67" s="21859"/>
      <c r="AZ67" s="21860"/>
      <c r="BA67" s="21861"/>
      <c r="BB67" s="21862"/>
      <c r="BC67" s="21863"/>
      <c r="BD67" s="21864"/>
      <c r="BE67" s="21865"/>
      <c r="BF67" s="21866"/>
      <c r="BG67" s="21867"/>
      <c r="BH67" s="21868"/>
      <c r="BI67" s="21869"/>
      <c r="BJ67" s="21870"/>
      <c r="BK67" s="21871"/>
      <c r="BL67" s="21872"/>
      <c r="BM67" s="21873"/>
      <c r="BN67" s="21874"/>
      <c r="BO67" s="21875"/>
      <c r="BP67" s="21876"/>
      <c r="BQ67" s="21877"/>
      <c r="BR67" s="21878"/>
      <c r="BS67" s="21879"/>
      <c r="BT67" s="21880"/>
      <c r="BU67" s="21881"/>
      <c r="BV67" s="21882"/>
      <c r="BW67" s="21883"/>
      <c r="BX67" s="21884"/>
      <c r="BY67" s="21885"/>
      <c r="BZ67" s="21886"/>
      <c r="CA67" s="21887"/>
      <c r="CB67" s="21888"/>
      <c r="CC67" s="21889"/>
      <c r="CD67" s="21890"/>
      <c r="CE67" s="21891"/>
      <c r="CF67" s="21892"/>
      <c r="CG67" s="21893"/>
      <c r="CH67" s="21894"/>
      <c r="CI67" s="21895"/>
      <c r="CJ67" s="21896"/>
      <c r="CK67" s="21897"/>
      <c r="CL67" s="21898"/>
      <c r="CM67" s="21899"/>
      <c r="CN67" s="21900"/>
      <c r="CO67" s="21901"/>
      <c r="CP67" s="21902"/>
      <c r="CQ67" s="21903"/>
      <c r="CR67" s="21904"/>
      <c r="CS67" s="21905"/>
      <c r="CT67" s="21906"/>
      <c r="CU67" s="21907"/>
      <c r="CV67" s="21908"/>
      <c r="CW67" s="21281"/>
      <c r="CX67" s="21633"/>
      <c r="CY67" s="21633" t="str">
        <f>IF(T67="","",T67)</f>
        <v>Добавить группу потребителей</v>
      </c>
      <c r="CZ67" s="21633"/>
      <c r="DA67" s="21633"/>
      <c r="DB67" s="21020">
        <v>0</v>
      </c>
    </row>
    <row s="52883" customFormat="1" customHeight="1" ht="14.25">
      <c r="A68" s="21621"/>
      <c r="B68" s="21621"/>
      <c r="C68" s="21621"/>
      <c r="D68" s="21621"/>
      <c r="E68" s="21622"/>
      <c r="F68" s="21622">
        <v>1</v>
      </c>
      <c r="G68" s="21622"/>
      <c r="H68" s="21623"/>
      <c r="I68" s="21621"/>
      <c r="J68" s="21621"/>
      <c r="K68" s="21621"/>
      <c r="L68" s="21624"/>
      <c r="M68" s="21625"/>
      <c r="N68" s="21625"/>
      <c r="O68" s="21264"/>
      <c r="P68" s="21910"/>
      <c r="Q68" s="21911"/>
      <c r="R68" s="21912"/>
      <c r="S68" s="21913"/>
      <c r="T68" s="21914" t="s">
        <v>624</v>
      </c>
      <c r="U68" s="21915"/>
      <c r="V68" s="21916"/>
      <c r="W68" s="21917"/>
      <c r="X68" s="21918"/>
      <c r="Y68" s="21919"/>
      <c r="Z68" s="21920"/>
      <c r="AA68" s="21921"/>
      <c r="AB68" s="21922"/>
      <c r="AC68" s="21923"/>
      <c r="AD68" s="21924"/>
      <c r="AE68" s="21925"/>
      <c r="AF68" s="21926"/>
      <c r="AG68" s="21927"/>
      <c r="AH68" s="21928"/>
      <c r="AI68" s="21929"/>
      <c r="AJ68" s="21930"/>
      <c r="AK68" s="21931"/>
      <c r="AL68" s="21932"/>
      <c r="AM68" s="21933"/>
      <c r="AN68" s="21934"/>
      <c r="AO68" s="21935"/>
      <c r="AP68" s="21936"/>
      <c r="AQ68" s="21937"/>
      <c r="AR68" s="21938"/>
      <c r="AS68" s="21939"/>
      <c r="AT68" s="21940"/>
      <c r="AU68" s="21941"/>
      <c r="AV68" s="21942"/>
      <c r="AW68" s="21943"/>
      <c r="AX68" s="21944"/>
      <c r="AY68" s="21945"/>
      <c r="AZ68" s="21946"/>
      <c r="BA68" s="21947"/>
      <c r="BB68" s="21948"/>
      <c r="BC68" s="21949"/>
      <c r="BD68" s="21950"/>
      <c r="BE68" s="21951"/>
      <c r="BF68" s="21952"/>
      <c r="BG68" s="21953"/>
      <c r="BH68" s="21954"/>
      <c r="BI68" s="21955"/>
      <c r="BJ68" s="21956"/>
      <c r="BK68" s="21957"/>
      <c r="BL68" s="21958"/>
      <c r="BM68" s="21959"/>
      <c r="BN68" s="21960"/>
      <c r="BO68" s="21961"/>
      <c r="BP68" s="21962"/>
      <c r="BQ68" s="21963"/>
      <c r="BR68" s="21964"/>
      <c r="BS68" s="21965"/>
      <c r="BT68" s="21966"/>
      <c r="BU68" s="21967"/>
      <c r="BV68" s="21968"/>
      <c r="BW68" s="21969"/>
      <c r="BX68" s="21970"/>
      <c r="BY68" s="21971"/>
      <c r="BZ68" s="21972"/>
      <c r="CA68" s="21973"/>
      <c r="CB68" s="21974"/>
      <c r="CC68" s="21975"/>
      <c r="CD68" s="21976"/>
      <c r="CE68" s="21977"/>
      <c r="CF68" s="21978"/>
      <c r="CG68" s="21979"/>
      <c r="CH68" s="21980"/>
      <c r="CI68" s="21981"/>
      <c r="CJ68" s="21982"/>
      <c r="CK68" s="21983"/>
      <c r="CL68" s="21984"/>
      <c r="CM68" s="21985"/>
      <c r="CN68" s="21986"/>
      <c r="CO68" s="21987"/>
      <c r="CP68" s="21988"/>
      <c r="CQ68" s="21989"/>
      <c r="CR68" s="21990"/>
      <c r="CS68" s="21991"/>
      <c r="CT68" s="21992"/>
      <c r="CU68" s="21993"/>
      <c r="CV68" s="21994"/>
      <c r="CW68" s="21281"/>
      <c r="CX68" s="21633"/>
      <c r="CY68" s="21633" t="str">
        <f>IF(T68="","",T68)</f>
        <v>Добавить наименование признака дифференциации</v>
      </c>
      <c r="CZ68" s="21633"/>
      <c r="DA68" s="21633"/>
      <c r="DB68" s="21020">
        <v>0</v>
      </c>
    </row>
    <row s="52969" customFormat="1" customHeight="1" ht="14.25">
      <c r="A69" s="21996"/>
      <c r="B69" s="21996"/>
      <c r="C69" s="21996"/>
      <c r="D69" s="21996"/>
      <c r="E69" s="21622"/>
      <c r="F69" s="21623">
        <v>1</v>
      </c>
      <c r="G69" s="21996"/>
      <c r="H69" s="21996"/>
      <c r="I69" s="21996"/>
      <c r="J69" s="21996"/>
      <c r="K69" s="21996"/>
      <c r="L69" s="21997"/>
      <c r="M69" s="21998"/>
      <c r="N69" s="21998"/>
      <c r="O69" s="21281"/>
      <c r="P69" s="21999"/>
      <c r="Q69" s="22000"/>
      <c r="R69" s="21999"/>
      <c r="S69" s="22001"/>
      <c r="T69" s="22002" t="s">
        <v>290</v>
      </c>
      <c r="U69" s="21260"/>
      <c r="V69" s="21260"/>
      <c r="W69" s="21260"/>
      <c r="X69" s="21260"/>
      <c r="Y69" s="21260"/>
      <c r="Z69" s="21260"/>
      <c r="AA69" s="21260"/>
      <c r="AB69" s="21260"/>
      <c r="AC69" s="21260"/>
      <c r="AD69" s="21260"/>
      <c r="AE69" s="21260"/>
      <c r="AF69" s="21260"/>
      <c r="AG69" s="21260"/>
      <c r="AH69" s="21260"/>
      <c r="AI69" s="21260"/>
      <c r="AJ69" s="21260"/>
      <c r="AK69" s="21260"/>
      <c r="AL69" s="21260"/>
      <c r="AM69" s="21260"/>
      <c r="AN69" s="21260"/>
      <c r="AO69" s="21260"/>
      <c r="AP69" s="21260"/>
      <c r="AQ69" s="21260"/>
      <c r="AR69" s="21260"/>
      <c r="AS69" s="21260"/>
      <c r="AT69" s="21260"/>
      <c r="AU69" s="21260"/>
      <c r="AV69" s="21260"/>
      <c r="AW69" s="21260"/>
      <c r="AX69" s="21260"/>
      <c r="AY69" s="21260"/>
      <c r="AZ69" s="21260"/>
      <c r="BA69" s="21260"/>
      <c r="BB69" s="21260"/>
      <c r="BC69" s="21260"/>
      <c r="BD69" s="21260"/>
      <c r="BE69" s="21260"/>
      <c r="BF69" s="21260"/>
      <c r="BG69" s="21260"/>
      <c r="BH69" s="21260"/>
      <c r="BI69" s="21260"/>
      <c r="BJ69" s="21260"/>
      <c r="BK69" s="21260"/>
      <c r="BL69" s="21260"/>
      <c r="BM69" s="21260"/>
      <c r="BN69" s="21260"/>
      <c r="BO69" s="21260"/>
      <c r="BP69" s="21260"/>
      <c r="BQ69" s="21260"/>
      <c r="BR69" s="21260"/>
      <c r="BS69" s="21260"/>
      <c r="BT69" s="21260"/>
      <c r="BU69" s="21260"/>
      <c r="BV69" s="21260"/>
      <c r="BW69" s="21260"/>
      <c r="BX69" s="21260"/>
      <c r="BY69" s="21260"/>
      <c r="BZ69" s="21260"/>
      <c r="CA69" s="21260"/>
      <c r="CB69" s="21260"/>
      <c r="CC69" s="21260"/>
      <c r="CD69" s="21260"/>
      <c r="CE69" s="21260"/>
      <c r="CF69" s="21260"/>
      <c r="CG69" s="21260"/>
      <c r="CH69" s="21260"/>
      <c r="CI69" s="21260"/>
      <c r="CJ69" s="21260"/>
      <c r="CK69" s="21260"/>
      <c r="CL69" s="21260"/>
      <c r="CM69" s="21260"/>
      <c r="CN69" s="21260"/>
      <c r="CO69" s="21260"/>
      <c r="CP69" s="21260"/>
      <c r="CQ69" s="21260"/>
      <c r="CR69" s="21260"/>
      <c r="CS69" s="21260"/>
      <c r="CT69" s="21260"/>
      <c r="CU69" s="21260"/>
      <c r="CV69" s="21260"/>
      <c r="CW69" s="21281"/>
      <c r="CX69" s="21633"/>
      <c r="CY69" s="21633" t="str">
        <f>IF(T69="","",T69)</f>
        <v>Добавить централизованную систему для дифференциации</v>
      </c>
      <c r="CZ69" s="21633"/>
      <c r="DA69" s="21633"/>
      <c r="DB69" s="21281">
        <v>0</v>
      </c>
    </row>
    <row s="52977" customFormat="1" customHeight="1" ht="23.25">
      <c r="A70" s="21621"/>
      <c r="B70" s="21621" t="s">
        <v>296</v>
      </c>
      <c r="C70" s="21621"/>
      <c r="D70" s="21621"/>
      <c r="E70" s="21622"/>
      <c r="F70" s="21623" t="s">
        <v>92</v>
      </c>
      <c r="G70" s="21621"/>
      <c r="H70" s="21621"/>
      <c r="I70" s="21621"/>
      <c r="J70" s="21621"/>
      <c r="K70" s="21621"/>
      <c r="L70" s="21624"/>
      <c r="M70" s="21625"/>
      <c r="N70" s="21625"/>
      <c r="O70" s="21625"/>
      <c r="P70" s="21626"/>
      <c r="Q70" s="21627"/>
      <c r="R70" s="21628"/>
      <c r="S70" s="21629" t="str">
        <f>INDEX(PT_DIFFERENTIATION_NUM_TER,MATCH(B70,PT_DIFFERENTIATION_TER_ID,0))</f>
        <v>1.3</v>
      </c>
      <c r="T70" s="21630" t="s">
        <v>536</v>
      </c>
      <c r="U70" s="21631"/>
      <c r="V70" s="21025"/>
      <c r="W70" s="21026"/>
      <c r="X70" s="21026"/>
      <c r="Y70" s="21026"/>
      <c r="Z70" s="21026"/>
      <c r="AA70" s="21026"/>
      <c r="AB70" s="21027"/>
      <c r="AC70" s="21025" t="str">
        <f>INDEX(PT_DIFFERENTIATION_TER,MATCH(B70,PT_DIFFERENTIATION_TER_ID,0))</f>
        <v>Территория 3</v>
      </c>
      <c r="AD70" s="21026"/>
      <c r="AE70" s="21026"/>
      <c r="AF70" s="21026"/>
      <c r="AG70" s="21026"/>
      <c r="AH70" s="21026"/>
      <c r="AI70" s="21026"/>
      <c r="AJ70" s="21025"/>
      <c r="AK70" s="21026"/>
      <c r="AL70" s="21026"/>
      <c r="AM70" s="21026"/>
      <c r="AN70" s="21026"/>
      <c r="AO70" s="21026"/>
      <c r="AP70" s="21027"/>
      <c r="AQ70" s="21025"/>
      <c r="AR70" s="21026"/>
      <c r="AS70" s="21026"/>
      <c r="AT70" s="21026"/>
      <c r="AU70" s="21026"/>
      <c r="AV70" s="21026"/>
      <c r="AW70" s="21027"/>
      <c r="AX70" s="21025"/>
      <c r="AY70" s="21026"/>
      <c r="AZ70" s="21026"/>
      <c r="BA70" s="21026"/>
      <c r="BB70" s="21026"/>
      <c r="BC70" s="21026"/>
      <c r="BD70" s="21027"/>
      <c r="BE70" s="21025"/>
      <c r="BF70" s="21026"/>
      <c r="BG70" s="21026"/>
      <c r="BH70" s="21026"/>
      <c r="BI70" s="21026"/>
      <c r="BJ70" s="21026"/>
      <c r="BK70" s="21027"/>
      <c r="BL70" s="21025"/>
      <c r="BM70" s="21026"/>
      <c r="BN70" s="21026"/>
      <c r="BO70" s="21026"/>
      <c r="BP70" s="21026"/>
      <c r="BQ70" s="21026"/>
      <c r="BR70" s="21027"/>
      <c r="BS70" s="21025"/>
      <c r="BT70" s="21026"/>
      <c r="BU70" s="21026"/>
      <c r="BV70" s="21026"/>
      <c r="BW70" s="21026"/>
      <c r="BX70" s="21026"/>
      <c r="BY70" s="21027"/>
      <c r="BZ70" s="21025"/>
      <c r="CA70" s="21026"/>
      <c r="CB70" s="21026"/>
      <c r="CC70" s="21026"/>
      <c r="CD70" s="21026"/>
      <c r="CE70" s="21026"/>
      <c r="CF70" s="21027"/>
      <c r="CG70" s="21025"/>
      <c r="CH70" s="21026"/>
      <c r="CI70" s="21026"/>
      <c r="CJ70" s="21026"/>
      <c r="CK70" s="21026"/>
      <c r="CL70" s="21026"/>
      <c r="CM70" s="21027"/>
      <c r="CN70" s="21025"/>
      <c r="CO70" s="21026"/>
      <c r="CP70" s="21026"/>
      <c r="CQ70" s="21026"/>
      <c r="CR70" s="21026"/>
      <c r="CS70" s="21026"/>
      <c r="CT70" s="21027"/>
      <c r="CU70" s="21027"/>
      <c r="CV70" s="21632" t="s">
        <v>537</v>
      </c>
      <c r="CW70" s="21281"/>
      <c r="CX70" s="21633"/>
      <c r="CY70" s="21633" t="str">
        <f>IF(T70="","",T70)</f>
        <v>Территория действия тарифа</v>
      </c>
      <c r="CZ70" s="21633"/>
      <c r="DA70" s="21633"/>
      <c r="DB70" s="21020">
        <v>0</v>
      </c>
    </row>
    <row s="52978" customFormat="1" customHeight="1" ht="23.25">
      <c r="A71" s="21621"/>
      <c r="B71" s="21621"/>
      <c r="C71" s="21621" t="s">
        <v>297</v>
      </c>
      <c r="D71" s="21621"/>
      <c r="E71" s="21622"/>
      <c r="F71" s="21622" t="s">
        <v>105</v>
      </c>
      <c r="G71" s="21623">
        <v>1</v>
      </c>
      <c r="H71" s="21621"/>
      <c r="I71" s="21621"/>
      <c r="J71" s="21621"/>
      <c r="K71" s="21621"/>
      <c r="L71" s="21624"/>
      <c r="M71" s="21625"/>
      <c r="N71" s="21625"/>
      <c r="O71" s="21625"/>
      <c r="P71" s="21635"/>
      <c r="Q71" s="21627"/>
      <c r="R71" s="21628"/>
      <c r="S71" s="21629" t="str">
        <f>INDEX(PT_DIFFERENTIATION_NUM_CS,MATCH(C71,PT_DIFFERENTIATION_CS_ID,0))</f>
        <v>1.3.1</v>
      </c>
      <c r="T71" s="21636" t="s">
        <v>617</v>
      </c>
      <c r="U71" s="21631"/>
      <c r="V71" s="21025"/>
      <c r="W71" s="21026"/>
      <c r="X71" s="21026"/>
      <c r="Y71" s="21026"/>
      <c r="Z71" s="21026"/>
      <c r="AA71" s="21026"/>
      <c r="AB71" s="21027"/>
      <c r="AC71" s="21025" t="str">
        <f>INDEX(PT_DIFFERENTIATION_CS,MATCH(C71,PT_DIFFERENTIATION_CS_ID,0))</f>
        <v>пгт. Новошахтинский, с. Павловка</v>
      </c>
      <c r="AD71" s="21026"/>
      <c r="AE71" s="21026"/>
      <c r="AF71" s="21026"/>
      <c r="AG71" s="21026"/>
      <c r="AH71" s="21026"/>
      <c r="AI71" s="21026"/>
      <c r="AJ71" s="21025"/>
      <c r="AK71" s="21026"/>
      <c r="AL71" s="21026"/>
      <c r="AM71" s="21026"/>
      <c r="AN71" s="21026"/>
      <c r="AO71" s="21026"/>
      <c r="AP71" s="21027"/>
      <c r="AQ71" s="21025"/>
      <c r="AR71" s="21026"/>
      <c r="AS71" s="21026"/>
      <c r="AT71" s="21026"/>
      <c r="AU71" s="21026"/>
      <c r="AV71" s="21026"/>
      <c r="AW71" s="21027"/>
      <c r="AX71" s="21025"/>
      <c r="AY71" s="21026"/>
      <c r="AZ71" s="21026"/>
      <c r="BA71" s="21026"/>
      <c r="BB71" s="21026"/>
      <c r="BC71" s="21026"/>
      <c r="BD71" s="21027"/>
      <c r="BE71" s="21025"/>
      <c r="BF71" s="21026"/>
      <c r="BG71" s="21026"/>
      <c r="BH71" s="21026"/>
      <c r="BI71" s="21026"/>
      <c r="BJ71" s="21026"/>
      <c r="BK71" s="21027"/>
      <c r="BL71" s="21025"/>
      <c r="BM71" s="21026"/>
      <c r="BN71" s="21026"/>
      <c r="BO71" s="21026"/>
      <c r="BP71" s="21026"/>
      <c r="BQ71" s="21026"/>
      <c r="BR71" s="21027"/>
      <c r="BS71" s="21025"/>
      <c r="BT71" s="21026"/>
      <c r="BU71" s="21026"/>
      <c r="BV71" s="21026"/>
      <c r="BW71" s="21026"/>
      <c r="BX71" s="21026"/>
      <c r="BY71" s="21027"/>
      <c r="BZ71" s="21025"/>
      <c r="CA71" s="21026"/>
      <c r="CB71" s="21026"/>
      <c r="CC71" s="21026"/>
      <c r="CD71" s="21026"/>
      <c r="CE71" s="21026"/>
      <c r="CF71" s="21027"/>
      <c r="CG71" s="21025"/>
      <c r="CH71" s="21026"/>
      <c r="CI71" s="21026"/>
      <c r="CJ71" s="21026"/>
      <c r="CK71" s="21026"/>
      <c r="CL71" s="21026"/>
      <c r="CM71" s="21027"/>
      <c r="CN71" s="21025"/>
      <c r="CO71" s="21026"/>
      <c r="CP71" s="21026"/>
      <c r="CQ71" s="21026"/>
      <c r="CR71" s="21026"/>
      <c r="CS71" s="21026"/>
      <c r="CT71" s="21027"/>
      <c r="CU71" s="21027"/>
      <c r="CV71" s="21632" t="s">
        <v>618</v>
      </c>
      <c r="CW71" s="21281"/>
      <c r="CX71" s="21633"/>
      <c r="CY71" s="21633" t="str">
        <f>IF(T71="","",T71)</f>
        <v>Наименование централизованной системы холодного водоснабжения</v>
      </c>
      <c r="CZ71" s="21633"/>
      <c r="DA71" s="21633"/>
      <c r="DB71" s="21020">
        <v>0</v>
      </c>
    </row>
    <row s="52979" customFormat="1" customHeight="1" ht="23.25">
      <c r="A72" s="21621"/>
      <c r="B72" s="21621"/>
      <c r="C72" s="21621"/>
      <c r="D72" s="21621"/>
      <c r="E72" s="21622"/>
      <c r="F72" s="21622" t="s">
        <v>105</v>
      </c>
      <c r="G72" s="21622"/>
      <c r="H72" s="21622"/>
      <c r="I72" s="21638" t="str">
        <f>S71&amp;".1"</f>
        <v>1.3.1.1</v>
      </c>
      <c r="J72" s="21621"/>
      <c r="K72" s="21621"/>
      <c r="L72" s="21624"/>
      <c r="M72" s="21639"/>
      <c r="N72" s="21639"/>
      <c r="O72" s="21639"/>
      <c r="P72" s="21640">
        <v>1</v>
      </c>
      <c r="Q72" s="21640"/>
      <c r="R72" s="21641"/>
      <c r="S72" s="21629" t="str">
        <f>$I72</f>
        <v>1.3.1.1</v>
      </c>
      <c r="T72" s="21642" t="s">
        <v>619</v>
      </c>
      <c r="U72" s="21631"/>
      <c r="V72" s="21038"/>
      <c r="W72" s="21039"/>
      <c r="X72" s="21039"/>
      <c r="Y72" s="21039"/>
      <c r="Z72" s="21039"/>
      <c r="AA72" s="21039"/>
      <c r="AB72" s="21040"/>
      <c r="AC72" s="21643"/>
      <c r="AD72" s="21644"/>
      <c r="AE72" s="21644"/>
      <c r="AF72" s="21644"/>
      <c r="AG72" s="21644"/>
      <c r="AH72" s="21644"/>
      <c r="AI72" s="21644"/>
      <c r="AJ72" s="21038"/>
      <c r="AK72" s="21039"/>
      <c r="AL72" s="21039"/>
      <c r="AM72" s="21039"/>
      <c r="AN72" s="21039"/>
      <c r="AO72" s="21039"/>
      <c r="AP72" s="21040"/>
      <c r="AQ72" s="21038"/>
      <c r="AR72" s="21039"/>
      <c r="AS72" s="21039"/>
      <c r="AT72" s="21039"/>
      <c r="AU72" s="21039"/>
      <c r="AV72" s="21039"/>
      <c r="AW72" s="21040"/>
      <c r="AX72" s="21038"/>
      <c r="AY72" s="21039"/>
      <c r="AZ72" s="21039"/>
      <c r="BA72" s="21039"/>
      <c r="BB72" s="21039"/>
      <c r="BC72" s="21039"/>
      <c r="BD72" s="21040"/>
      <c r="BE72" s="21038"/>
      <c r="BF72" s="21039"/>
      <c r="BG72" s="21039"/>
      <c r="BH72" s="21039"/>
      <c r="BI72" s="21039"/>
      <c r="BJ72" s="21039"/>
      <c r="BK72" s="21040"/>
      <c r="BL72" s="21038"/>
      <c r="BM72" s="21039"/>
      <c r="BN72" s="21039"/>
      <c r="BO72" s="21039"/>
      <c r="BP72" s="21039"/>
      <c r="BQ72" s="21039"/>
      <c r="BR72" s="21040"/>
      <c r="BS72" s="21038"/>
      <c r="BT72" s="21039"/>
      <c r="BU72" s="21039"/>
      <c r="BV72" s="21039"/>
      <c r="BW72" s="21039"/>
      <c r="BX72" s="21039"/>
      <c r="BY72" s="21040"/>
      <c r="BZ72" s="21038"/>
      <c r="CA72" s="21039"/>
      <c r="CB72" s="21039"/>
      <c r="CC72" s="21039"/>
      <c r="CD72" s="21039"/>
      <c r="CE72" s="21039"/>
      <c r="CF72" s="21040"/>
      <c r="CG72" s="21038"/>
      <c r="CH72" s="21039"/>
      <c r="CI72" s="21039"/>
      <c r="CJ72" s="21039"/>
      <c r="CK72" s="21039"/>
      <c r="CL72" s="21039"/>
      <c r="CM72" s="21040"/>
      <c r="CN72" s="21038"/>
      <c r="CO72" s="21039"/>
      <c r="CP72" s="21039"/>
      <c r="CQ72" s="21039"/>
      <c r="CR72" s="21039"/>
      <c r="CS72" s="21039"/>
      <c r="CT72" s="21040"/>
      <c r="CU72" s="21645"/>
      <c r="CV72" s="21632" t="s">
        <v>620</v>
      </c>
      <c r="CW72" s="21281"/>
      <c r="CX72" s="21633"/>
      <c r="CY72" s="21633" t="str">
        <f>IF(T72="","",T72)</f>
        <v>Наименование признака дифференциации</v>
      </c>
      <c r="CZ72" s="21633"/>
      <c r="DA72" s="21633"/>
      <c r="DB72" s="21020">
        <v>0</v>
      </c>
    </row>
    <row s="52980" customFormat="1" customHeight="1" ht="23.25">
      <c r="A73" s="21621"/>
      <c r="B73" s="21621"/>
      <c r="C73" s="21621"/>
      <c r="D73" s="21621"/>
      <c r="E73" s="21622"/>
      <c r="F73" s="21622" t="s">
        <v>105</v>
      </c>
      <c r="G73" s="21622"/>
      <c r="H73" s="21622"/>
      <c r="I73" s="21647"/>
      <c r="J73" s="21638" t="str">
        <f>I72&amp;".1"</f>
        <v>1.3.1.1.1</v>
      </c>
      <c r="K73" s="21621"/>
      <c r="L73" s="21624" t="s">
        <v>545</v>
      </c>
      <c r="M73" s="21639"/>
      <c r="N73" s="21639"/>
      <c r="O73" s="21639"/>
      <c r="P73" s="21640"/>
      <c r="Q73" s="21640">
        <v>1</v>
      </c>
      <c r="R73" s="21648"/>
      <c r="S73" s="21629" t="str">
        <f>$J73</f>
        <v>1.3.1.1.1</v>
      </c>
      <c r="T73" s="21649" t="s">
        <v>546</v>
      </c>
      <c r="U73" s="21631"/>
      <c r="V73" s="21045"/>
      <c r="W73" s="21046"/>
      <c r="X73" s="21046"/>
      <c r="Y73" s="21046"/>
      <c r="Z73" s="21046"/>
      <c r="AA73" s="21046"/>
      <c r="AB73" s="21047"/>
      <c r="AC73" s="21045" t="s">
        <v>632</v>
      </c>
      <c r="AD73" s="21046"/>
      <c r="AE73" s="21046"/>
      <c r="AF73" s="21046"/>
      <c r="AG73" s="21046"/>
      <c r="AH73" s="21046"/>
      <c r="AI73" s="21046"/>
      <c r="AJ73" s="21045"/>
      <c r="AK73" s="21046"/>
      <c r="AL73" s="21046"/>
      <c r="AM73" s="21046"/>
      <c r="AN73" s="21046"/>
      <c r="AO73" s="21046"/>
      <c r="AP73" s="21047"/>
      <c r="AQ73" s="21045"/>
      <c r="AR73" s="21046"/>
      <c r="AS73" s="21046"/>
      <c r="AT73" s="21046"/>
      <c r="AU73" s="21046"/>
      <c r="AV73" s="21046"/>
      <c r="AW73" s="21047"/>
      <c r="AX73" s="21045"/>
      <c r="AY73" s="21046"/>
      <c r="AZ73" s="21046"/>
      <c r="BA73" s="21046"/>
      <c r="BB73" s="21046"/>
      <c r="BC73" s="21046"/>
      <c r="BD73" s="21047"/>
      <c r="BE73" s="21045"/>
      <c r="BF73" s="21046"/>
      <c r="BG73" s="21046"/>
      <c r="BH73" s="21046"/>
      <c r="BI73" s="21046"/>
      <c r="BJ73" s="21046"/>
      <c r="BK73" s="21047"/>
      <c r="BL73" s="21045"/>
      <c r="BM73" s="21046"/>
      <c r="BN73" s="21046"/>
      <c r="BO73" s="21046"/>
      <c r="BP73" s="21046"/>
      <c r="BQ73" s="21046"/>
      <c r="BR73" s="21047"/>
      <c r="BS73" s="21045"/>
      <c r="BT73" s="21046"/>
      <c r="BU73" s="21046"/>
      <c r="BV73" s="21046"/>
      <c r="BW73" s="21046"/>
      <c r="BX73" s="21046"/>
      <c r="BY73" s="21047"/>
      <c r="BZ73" s="21045"/>
      <c r="CA73" s="21046"/>
      <c r="CB73" s="21046"/>
      <c r="CC73" s="21046"/>
      <c r="CD73" s="21046"/>
      <c r="CE73" s="21046"/>
      <c r="CF73" s="21047"/>
      <c r="CG73" s="21045"/>
      <c r="CH73" s="21046"/>
      <c r="CI73" s="21046"/>
      <c r="CJ73" s="21046"/>
      <c r="CK73" s="21046"/>
      <c r="CL73" s="21046"/>
      <c r="CM73" s="21047"/>
      <c r="CN73" s="21045"/>
      <c r="CO73" s="21046"/>
      <c r="CP73" s="21046"/>
      <c r="CQ73" s="21046"/>
      <c r="CR73" s="21046"/>
      <c r="CS73" s="21046"/>
      <c r="CT73" s="21047"/>
      <c r="CU73" s="21047"/>
      <c r="CV73" s="21650" t="s">
        <v>621</v>
      </c>
      <c r="CW73" s="21281"/>
      <c r="CX73" s="21633"/>
      <c r="CY73" s="21633" t="str">
        <f>IF(T73="","",T73)</f>
        <v>Группа потребителей</v>
      </c>
      <c r="CZ73" s="21633"/>
      <c r="DA73" s="21633"/>
      <c r="DB73" s="21020">
        <v>0</v>
      </c>
    </row>
    <row s="52981" customFormat="1" customHeight="1" ht="23.25">
      <c r="A74" s="21621"/>
      <c r="B74" s="21621"/>
      <c r="C74" s="21621"/>
      <c r="D74" s="21621"/>
      <c r="E74" s="21622"/>
      <c r="F74" s="21622" t="s">
        <v>105</v>
      </c>
      <c r="G74" s="21622"/>
      <c r="H74" s="21622"/>
      <c r="I74" s="21647"/>
      <c r="J74" s="21647"/>
      <c r="K74" s="21638" t="str">
        <f>J73&amp;".1"</f>
        <v>1.3.1.1.1.1</v>
      </c>
      <c r="L74" s="21624"/>
      <c r="M74" s="21639"/>
      <c r="N74" s="21639"/>
      <c r="O74" s="21639"/>
      <c r="P74" s="21640"/>
      <c r="Q74" s="21640"/>
      <c r="R74" s="21648">
        <v>1</v>
      </c>
      <c r="S74" s="21629" t="str">
        <f>$K74</f>
        <v>1.3.1.1.1.1</v>
      </c>
      <c r="T74" s="21652"/>
      <c r="U74" s="21631"/>
      <c r="V74" s="21053"/>
      <c r="W74" s="21053"/>
      <c r="X74" s="21054"/>
      <c r="Y74" s="21055"/>
      <c r="Z74" s="21056" t="s">
        <v>63</v>
      </c>
      <c r="AA74" s="21055"/>
      <c r="AB74" s="21056" t="s">
        <v>63</v>
      </c>
      <c r="AC74" s="21053">
        <v>43.91</v>
      </c>
      <c r="AD74" s="21053"/>
      <c r="AE74" s="21054"/>
      <c r="AF74" s="21055">
        <v>45292.50293981482</v>
      </c>
      <c r="AG74" s="21056" t="s">
        <v>63</v>
      </c>
      <c r="AH74" s="21321">
        <v>45473.503125</v>
      </c>
      <c r="AI74" s="21056" t="s">
        <v>63</v>
      </c>
      <c r="AJ74" s="21053">
        <v>57.08</v>
      </c>
      <c r="AK74" s="21053"/>
      <c r="AL74" s="21054"/>
      <c r="AM74" s="21055">
        <v>45474.50356481481</v>
      </c>
      <c r="AN74" s="21056" t="s">
        <v>63</v>
      </c>
      <c r="AO74" s="21055">
        <v>45657.50376157407</v>
      </c>
      <c r="AP74" s="21056" t="s">
        <v>63</v>
      </c>
      <c r="AQ74" s="21053">
        <v>57.08</v>
      </c>
      <c r="AR74" s="21053"/>
      <c r="AS74" s="21054"/>
      <c r="AT74" s="21055">
        <v>45658.504166666666</v>
      </c>
      <c r="AU74" s="21056" t="s">
        <v>63</v>
      </c>
      <c r="AV74" s="21055">
        <v>45838.50440972222</v>
      </c>
      <c r="AW74" s="21056" t="s">
        <v>63</v>
      </c>
      <c r="AX74" s="21053">
        <v>69.07</v>
      </c>
      <c r="AY74" s="21053"/>
      <c r="AZ74" s="21054"/>
      <c r="BA74" s="21055">
        <v>45839.505</v>
      </c>
      <c r="BB74" s="21056" t="s">
        <v>63</v>
      </c>
      <c r="BC74" s="21055">
        <v>46022.50524305556</v>
      </c>
      <c r="BD74" s="21056" t="s">
        <v>63</v>
      </c>
      <c r="BE74" s="21053">
        <v>69.07</v>
      </c>
      <c r="BF74" s="21053"/>
      <c r="BG74" s="21054"/>
      <c r="BH74" s="21055">
        <v>46023.50592592593</v>
      </c>
      <c r="BI74" s="21056" t="s">
        <v>63</v>
      </c>
      <c r="BJ74" s="21055">
        <v>46203.506215277775</v>
      </c>
      <c r="BK74" s="21056" t="s">
        <v>63</v>
      </c>
      <c r="BL74" s="21053">
        <v>69.42</v>
      </c>
      <c r="BM74" s="21053"/>
      <c r="BN74" s="21054"/>
      <c r="BO74" s="21055">
        <v>46204.50679398148</v>
      </c>
      <c r="BP74" s="21056" t="s">
        <v>63</v>
      </c>
      <c r="BQ74" s="21055">
        <v>46387.50708333333</v>
      </c>
      <c r="BR74" s="21056" t="s">
        <v>63</v>
      </c>
      <c r="BS74" s="21053">
        <v>69.42</v>
      </c>
      <c r="BT74" s="21053"/>
      <c r="BU74" s="21054"/>
      <c r="BV74" s="21055">
        <v>46388.50755787037</v>
      </c>
      <c r="BW74" s="21056" t="s">
        <v>63</v>
      </c>
      <c r="BX74" s="21055">
        <v>46568.50790509259</v>
      </c>
      <c r="BY74" s="21056" t="s">
        <v>63</v>
      </c>
      <c r="BZ74" s="21053">
        <v>69.77</v>
      </c>
      <c r="CA74" s="21053"/>
      <c r="CB74" s="21054"/>
      <c r="CC74" s="21055">
        <v>46569.50844907408</v>
      </c>
      <c r="CD74" s="21056" t="s">
        <v>63</v>
      </c>
      <c r="CE74" s="21055">
        <v>46752.50884259259</v>
      </c>
      <c r="CF74" s="21056" t="s">
        <v>63</v>
      </c>
      <c r="CG74" s="21053">
        <v>69.43</v>
      </c>
      <c r="CH74" s="21053"/>
      <c r="CI74" s="21054"/>
      <c r="CJ74" s="21055">
        <v>46753.50959490741</v>
      </c>
      <c r="CK74" s="21056" t="s">
        <v>63</v>
      </c>
      <c r="CL74" s="21055">
        <v>46934.50990740741</v>
      </c>
      <c r="CM74" s="21056" t="s">
        <v>63</v>
      </c>
      <c r="CN74" s="21053">
        <v>69.43</v>
      </c>
      <c r="CO74" s="21053"/>
      <c r="CP74" s="21054"/>
      <c r="CQ74" s="21055">
        <v>46935.51039351852</v>
      </c>
      <c r="CR74" s="21056" t="s">
        <v>63</v>
      </c>
      <c r="CS74" s="21055">
        <v>47118.510659722226</v>
      </c>
      <c r="CT74" s="21056" t="s">
        <v>63</v>
      </c>
      <c r="CU74" s="21653"/>
      <c r="CV7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4" s="21281">
        <f>STRCHECKDATE(V75:CU75)</f>
      </c>
      <c r="CX74" s="21633"/>
      <c r="CY74" s="21633" t="str">
        <f>IF(T74="","",T74)</f>
        <v/>
      </c>
      <c r="CZ74" s="21633"/>
      <c r="DA74" s="21633"/>
      <c r="DB74" s="21020">
        <v>0</v>
      </c>
    </row>
    <row s="52982" customFormat="1" customHeight="1" ht="14.25">
      <c r="A75" s="21621"/>
      <c r="B75" s="21621"/>
      <c r="C75" s="21621"/>
      <c r="D75" s="21621"/>
      <c r="E75" s="21622"/>
      <c r="F75" s="21622" t="s">
        <v>105</v>
      </c>
      <c r="G75" s="21622"/>
      <c r="H75" s="21622"/>
      <c r="I75" s="21647"/>
      <c r="J75" s="21647"/>
      <c r="K75" s="21638"/>
      <c r="L75" s="21624"/>
      <c r="M75" s="21639"/>
      <c r="N75" s="21639"/>
      <c r="O75" s="21639"/>
      <c r="P75" s="21640"/>
      <c r="Q75" s="21640"/>
      <c r="R75" s="21648"/>
      <c r="S75" s="21656"/>
      <c r="T75" s="21631"/>
      <c r="U75" s="21631"/>
      <c r="V75" s="21063"/>
      <c r="W75" s="21063"/>
      <c r="X75" s="21064" t="str">
        <f>Y74&amp;"-"&amp;AA74</f>
        <v>-</v>
      </c>
      <c r="Y75" s="21065"/>
      <c r="Z75" s="21056"/>
      <c r="AA75" s="21065"/>
      <c r="AB75" s="21056"/>
      <c r="AC75" s="21063"/>
      <c r="AD75" s="21063"/>
      <c r="AE75" s="21064" t="str">
        <f>AF74&amp;"-"&amp;AH74</f>
        <v>45292.50293981482-45473.503125</v>
      </c>
      <c r="AF75" s="21065"/>
      <c r="AG75" s="21056"/>
      <c r="AH75" s="21324"/>
      <c r="AI75" s="21056"/>
      <c r="AJ75" s="21063"/>
      <c r="AK75" s="21063"/>
      <c r="AL75" s="21064" t="str">
        <f>AM74&amp;"-"&amp;AO74</f>
        <v>45474.50356481481-45657.50376157407</v>
      </c>
      <c r="AM75" s="21065"/>
      <c r="AN75" s="21056"/>
      <c r="AO75" s="21065"/>
      <c r="AP75" s="21056"/>
      <c r="AQ75" s="21063"/>
      <c r="AR75" s="21063"/>
      <c r="AS75" s="21064" t="str">
        <f>AT74&amp;"-"&amp;AV74</f>
        <v>45658.504166666666-45838.50440972222</v>
      </c>
      <c r="AT75" s="21065"/>
      <c r="AU75" s="21056"/>
      <c r="AV75" s="21065"/>
      <c r="AW75" s="21056"/>
      <c r="AX75" s="21063"/>
      <c r="AY75" s="21063"/>
      <c r="AZ75" s="21064" t="str">
        <f>BA74&amp;"-"&amp;BC74</f>
        <v>45839.505-46022.50524305556</v>
      </c>
      <c r="BA75" s="21065"/>
      <c r="BB75" s="21056"/>
      <c r="BC75" s="21065"/>
      <c r="BD75" s="21056"/>
      <c r="BE75" s="21063"/>
      <c r="BF75" s="21063"/>
      <c r="BG75" s="21064" t="str">
        <f>BH74&amp;"-"&amp;BJ74</f>
        <v>46023.50592592593-46203.506215277775</v>
      </c>
      <c r="BH75" s="21065"/>
      <c r="BI75" s="21056"/>
      <c r="BJ75" s="21065"/>
      <c r="BK75" s="21056"/>
      <c r="BL75" s="21063"/>
      <c r="BM75" s="21063"/>
      <c r="BN75" s="21064" t="str">
        <f>BO74&amp;"-"&amp;BQ74</f>
        <v>46204.50679398148-46387.50708333333</v>
      </c>
      <c r="BO75" s="21065"/>
      <c r="BP75" s="21056"/>
      <c r="BQ75" s="21065"/>
      <c r="BR75" s="21056"/>
      <c r="BS75" s="21063"/>
      <c r="BT75" s="21063"/>
      <c r="BU75" s="21064" t="str">
        <f>BV74&amp;"-"&amp;BX74</f>
        <v>46388.50755787037-46568.50790509259</v>
      </c>
      <c r="BV75" s="21065"/>
      <c r="BW75" s="21056"/>
      <c r="BX75" s="21065"/>
      <c r="BY75" s="21056"/>
      <c r="BZ75" s="21063"/>
      <c r="CA75" s="21063"/>
      <c r="CB75" s="21064" t="str">
        <f>CC74&amp;"-"&amp;CE74</f>
        <v>46569.50844907408-46752.50884259259</v>
      </c>
      <c r="CC75" s="21065"/>
      <c r="CD75" s="21056"/>
      <c r="CE75" s="21065"/>
      <c r="CF75" s="21056"/>
      <c r="CG75" s="21063"/>
      <c r="CH75" s="21063"/>
      <c r="CI75" s="21064" t="str">
        <f>CJ74&amp;"-"&amp;CL74</f>
        <v>46753.50959490741-46934.50990740741</v>
      </c>
      <c r="CJ75" s="21065"/>
      <c r="CK75" s="21056"/>
      <c r="CL75" s="21065"/>
      <c r="CM75" s="21056"/>
      <c r="CN75" s="21063"/>
      <c r="CO75" s="21063"/>
      <c r="CP75" s="21064" t="str">
        <f>CQ74&amp;"-"&amp;CS74</f>
        <v>46935.51039351852-47118.510659722226</v>
      </c>
      <c r="CQ75" s="21065"/>
      <c r="CR75" s="21056"/>
      <c r="CS75" s="21065"/>
      <c r="CT75" s="21056"/>
      <c r="CU75" s="21657"/>
      <c r="CV75" s="21654"/>
      <c r="CW75" s="21281"/>
      <c r="CX75" s="21633"/>
      <c r="CY75" s="21633" t="str">
        <f>IF(T75="","",T75)</f>
        <v/>
      </c>
      <c r="CZ75" s="21633"/>
      <c r="DA75" s="21633"/>
      <c r="DB75" s="21020">
        <v>0</v>
      </c>
    </row>
    <row s="52983" customFormat="1" customHeight="1" ht="21">
      <c r="A76" s="21621"/>
      <c r="B76" s="21621"/>
      <c r="C76" s="21621"/>
      <c r="D76" s="21621"/>
      <c r="E76" s="21622"/>
      <c r="F76" s="21622" t="s">
        <v>105</v>
      </c>
      <c r="G76" s="21622"/>
      <c r="H76" s="21622"/>
      <c r="I76" s="21647"/>
      <c r="J76" s="21638"/>
      <c r="K76" s="21621"/>
      <c r="L76" s="21624"/>
      <c r="M76" s="21639"/>
      <c r="N76" s="21639"/>
      <c r="O76" s="21639"/>
      <c r="P76" s="21640"/>
      <c r="Q76" s="21640"/>
      <c r="R76" s="21641"/>
      <c r="S76" s="22010"/>
      <c r="T76" s="22011" t="s">
        <v>622</v>
      </c>
      <c r="U76" s="22012"/>
      <c r="V76" s="22013"/>
      <c r="W76" s="22014"/>
      <c r="X76" s="22015"/>
      <c r="Y76" s="22016"/>
      <c r="Z76" s="22017"/>
      <c r="AA76" s="22018"/>
      <c r="AB76" s="22019"/>
      <c r="AC76" s="22020"/>
      <c r="AD76" s="22021"/>
      <c r="AE76" s="22022"/>
      <c r="AF76" s="22023"/>
      <c r="AG76" s="22024"/>
      <c r="AH76" s="22025"/>
      <c r="AI76" s="22026"/>
      <c r="AJ76" s="22027"/>
      <c r="AK76" s="22028"/>
      <c r="AL76" s="22029"/>
      <c r="AM76" s="22030"/>
      <c r="AN76" s="22031"/>
      <c r="AO76" s="22032"/>
      <c r="AP76" s="22033"/>
      <c r="AQ76" s="22034"/>
      <c r="AR76" s="22035"/>
      <c r="AS76" s="22036"/>
      <c r="AT76" s="22037"/>
      <c r="AU76" s="22038"/>
      <c r="AV76" s="22039"/>
      <c r="AW76" s="22040"/>
      <c r="AX76" s="22041"/>
      <c r="AY76" s="22042"/>
      <c r="AZ76" s="22043"/>
      <c r="BA76" s="22044"/>
      <c r="BB76" s="22045"/>
      <c r="BC76" s="22046"/>
      <c r="BD76" s="22047"/>
      <c r="BE76" s="22048"/>
      <c r="BF76" s="22049"/>
      <c r="BG76" s="22050"/>
      <c r="BH76" s="22051"/>
      <c r="BI76" s="22052"/>
      <c r="BJ76" s="22053"/>
      <c r="BK76" s="22054"/>
      <c r="BL76" s="22055"/>
      <c r="BM76" s="22056"/>
      <c r="BN76" s="22057"/>
      <c r="BO76" s="22058"/>
      <c r="BP76" s="22059"/>
      <c r="BQ76" s="22060"/>
      <c r="BR76" s="22061"/>
      <c r="BS76" s="22062"/>
      <c r="BT76" s="22063"/>
      <c r="BU76" s="22064"/>
      <c r="BV76" s="22065"/>
      <c r="BW76" s="22066"/>
      <c r="BX76" s="22067"/>
      <c r="BY76" s="22068"/>
      <c r="BZ76" s="22069"/>
      <c r="CA76" s="22070"/>
      <c r="CB76" s="22071"/>
      <c r="CC76" s="22072"/>
      <c r="CD76" s="22073"/>
      <c r="CE76" s="22074"/>
      <c r="CF76" s="22075"/>
      <c r="CG76" s="22076"/>
      <c r="CH76" s="22077"/>
      <c r="CI76" s="22078"/>
      <c r="CJ76" s="22079"/>
      <c r="CK76" s="22080"/>
      <c r="CL76" s="22081"/>
      <c r="CM76" s="22082"/>
      <c r="CN76" s="22083"/>
      <c r="CO76" s="22084"/>
      <c r="CP76" s="22085"/>
      <c r="CQ76" s="22086"/>
      <c r="CR76" s="22087"/>
      <c r="CS76" s="22088"/>
      <c r="CT76" s="22089"/>
      <c r="CU76" s="22090"/>
      <c r="CV76" s="21632" t="s">
        <v>623</v>
      </c>
      <c r="CW76" s="21281"/>
      <c r="CX76" s="21633"/>
      <c r="CY76" s="21633" t="str">
        <f>IF(T76="","",T76)</f>
        <v>Добавить значение признака дифференциации</v>
      </c>
      <c r="CZ76" s="21633"/>
      <c r="DA76" s="21633"/>
      <c r="DB76" s="21020">
        <v>0</v>
      </c>
    </row>
    <row s="53065" customFormat="1" customHeight="1" ht="23.25">
      <c r="A77" s="21621"/>
      <c r="B77" s="21621"/>
      <c r="C77" s="21621"/>
      <c r="D77" s="21621"/>
      <c r="E77" s="21622"/>
      <c r="F77" s="21622"/>
      <c r="G77" s="21622"/>
      <c r="H77" s="21622"/>
      <c r="I77" s="21647"/>
      <c r="J77" s="21638" t="str">
        <f>I72&amp;".2"</f>
        <v>1.3.1.1.2</v>
      </c>
      <c r="K77" s="21621"/>
      <c r="L77" s="21624" t="s">
        <v>545</v>
      </c>
      <c r="M77" s="21639"/>
      <c r="N77" s="21639"/>
      <c r="O77" s="21639"/>
      <c r="P77" s="21640"/>
      <c r="Q77" s="21741" t="s">
        <v>106</v>
      </c>
      <c r="R77" s="21648"/>
      <c r="S77" s="21629" t="str">
        <f>$J77</f>
        <v>1.3.1.1.2</v>
      </c>
      <c r="T77" s="21649" t="s">
        <v>546</v>
      </c>
      <c r="U77" s="21631"/>
      <c r="V77" s="21045"/>
      <c r="W77" s="21046"/>
      <c r="X77" s="21046"/>
      <c r="Y77" s="21046"/>
      <c r="Z77" s="21046"/>
      <c r="AA77" s="21046"/>
      <c r="AB77" s="21047"/>
      <c r="AC77" s="21045" t="s">
        <v>633</v>
      </c>
      <c r="AD77" s="21046"/>
      <c r="AE77" s="21046"/>
      <c r="AF77" s="21046"/>
      <c r="AG77" s="21046"/>
      <c r="AH77" s="21046"/>
      <c r="AI77" s="21046"/>
      <c r="AJ77" s="21045"/>
      <c r="AK77" s="21046"/>
      <c r="AL77" s="21046"/>
      <c r="AM77" s="21046"/>
      <c r="AN77" s="21046"/>
      <c r="AO77" s="21046"/>
      <c r="AP77" s="21047"/>
      <c r="AQ77" s="21045"/>
      <c r="AR77" s="21046"/>
      <c r="AS77" s="21046"/>
      <c r="AT77" s="21046"/>
      <c r="AU77" s="21046"/>
      <c r="AV77" s="21046"/>
      <c r="AW77" s="21047"/>
      <c r="AX77" s="21045"/>
      <c r="AY77" s="21046"/>
      <c r="AZ77" s="21046"/>
      <c r="BA77" s="21046"/>
      <c r="BB77" s="21046"/>
      <c r="BC77" s="21046"/>
      <c r="BD77" s="21047"/>
      <c r="BE77" s="21045"/>
      <c r="BF77" s="21046"/>
      <c r="BG77" s="21046"/>
      <c r="BH77" s="21046"/>
      <c r="BI77" s="21046"/>
      <c r="BJ77" s="21046"/>
      <c r="BK77" s="21047"/>
      <c r="BL77" s="21045"/>
      <c r="BM77" s="21046"/>
      <c r="BN77" s="21046"/>
      <c r="BO77" s="21046"/>
      <c r="BP77" s="21046"/>
      <c r="BQ77" s="21046"/>
      <c r="BR77" s="21047"/>
      <c r="BS77" s="21045"/>
      <c r="BT77" s="21046"/>
      <c r="BU77" s="21046"/>
      <c r="BV77" s="21046"/>
      <c r="BW77" s="21046"/>
      <c r="BX77" s="21046"/>
      <c r="BY77" s="21047"/>
      <c r="BZ77" s="21045"/>
      <c r="CA77" s="21046"/>
      <c r="CB77" s="21046"/>
      <c r="CC77" s="21046"/>
      <c r="CD77" s="21046"/>
      <c r="CE77" s="21046"/>
      <c r="CF77" s="21047"/>
      <c r="CG77" s="21045"/>
      <c r="CH77" s="21046"/>
      <c r="CI77" s="21046"/>
      <c r="CJ77" s="21046"/>
      <c r="CK77" s="21046"/>
      <c r="CL77" s="21046"/>
      <c r="CM77" s="21047"/>
      <c r="CN77" s="21045"/>
      <c r="CO77" s="21046"/>
      <c r="CP77" s="21046"/>
      <c r="CQ77" s="21046"/>
      <c r="CR77" s="21046"/>
      <c r="CS77" s="21046"/>
      <c r="CT77" s="21047"/>
      <c r="CU77" s="21047"/>
      <c r="CV77" s="21650" t="s">
        <v>621</v>
      </c>
      <c r="CW77" s="21281"/>
      <c r="CX77" s="21633"/>
      <c r="CY77" s="21633" t="str">
        <f>IF(T77="","",T77)</f>
        <v>Группа потребителей</v>
      </c>
      <c r="CZ77" s="21633"/>
      <c r="DA77" s="21633"/>
      <c r="DB77" s="21020">
        <v>0</v>
      </c>
    </row>
    <row s="53066" customFormat="1" customHeight="1" ht="23.25">
      <c r="A78" s="21621"/>
      <c r="B78" s="21621"/>
      <c r="C78" s="21621"/>
      <c r="D78" s="21621"/>
      <c r="E78" s="21622"/>
      <c r="F78" s="21622"/>
      <c r="G78" s="21622"/>
      <c r="H78" s="21622"/>
      <c r="I78" s="21647"/>
      <c r="J78" s="21647" t="str">
        <f>I72&amp;".1"</f>
        <v>1.3.1.1.1</v>
      </c>
      <c r="K78" s="21638" t="str">
        <f>J77&amp;".1"</f>
        <v>1.3.1.1.2.1</v>
      </c>
      <c r="L78" s="21624"/>
      <c r="M78" s="21639"/>
      <c r="N78" s="21639"/>
      <c r="O78" s="21639"/>
      <c r="P78" s="21640"/>
      <c r="Q78" s="21640"/>
      <c r="R78" s="21648">
        <v>1</v>
      </c>
      <c r="S78" s="21629" t="str">
        <f>$K78</f>
        <v>1.3.1.1.2.1</v>
      </c>
      <c r="T78" s="21652"/>
      <c r="U78" s="21631"/>
      <c r="V78" s="21053"/>
      <c r="W78" s="21053"/>
      <c r="X78" s="21054"/>
      <c r="Y78" s="21055"/>
      <c r="Z78" s="21056" t="s">
        <v>63</v>
      </c>
      <c r="AA78" s="21055"/>
      <c r="AB78" s="21056" t="s">
        <v>63</v>
      </c>
      <c r="AC78" s="21053">
        <v>36.59</v>
      </c>
      <c r="AD78" s="21053"/>
      <c r="AE78" s="21054"/>
      <c r="AF78" s="21055">
        <v>45292.50304398148</v>
      </c>
      <c r="AG78" s="21056" t="s">
        <v>63</v>
      </c>
      <c r="AH78" s="21321">
        <v>45473.503229166665</v>
      </c>
      <c r="AI78" s="21056" t="s">
        <v>63</v>
      </c>
      <c r="AJ78" s="21053">
        <v>47.57</v>
      </c>
      <c r="AK78" s="21053"/>
      <c r="AL78" s="21054"/>
      <c r="AM78" s="21055">
        <v>45474.50366898148</v>
      </c>
      <c r="AN78" s="21056" t="s">
        <v>63</v>
      </c>
      <c r="AO78" s="21055">
        <v>45657.50380787037</v>
      </c>
      <c r="AP78" s="21056" t="s">
        <v>63</v>
      </c>
      <c r="AQ78" s="21053">
        <v>47.57</v>
      </c>
      <c r="AR78" s="21053"/>
      <c r="AS78" s="21054"/>
      <c r="AT78" s="21055">
        <v>45658.504282407404</v>
      </c>
      <c r="AU78" s="21056" t="s">
        <v>63</v>
      </c>
      <c r="AV78" s="21055">
        <v>45838.504525462966</v>
      </c>
      <c r="AW78" s="21056" t="s">
        <v>63</v>
      </c>
      <c r="AX78" s="21053">
        <v>57.56</v>
      </c>
      <c r="AY78" s="21053"/>
      <c r="AZ78" s="21054"/>
      <c r="BA78" s="21055">
        <v>45839.50508101852</v>
      </c>
      <c r="BB78" s="21056" t="s">
        <v>63</v>
      </c>
      <c r="BC78" s="21055">
        <v>46022.505324074074</v>
      </c>
      <c r="BD78" s="21056" t="s">
        <v>63</v>
      </c>
      <c r="BE78" s="21053">
        <v>57.56</v>
      </c>
      <c r="BF78" s="21053"/>
      <c r="BG78" s="21054"/>
      <c r="BH78" s="21055">
        <v>46023.506053240744</v>
      </c>
      <c r="BI78" s="21056" t="s">
        <v>63</v>
      </c>
      <c r="BJ78" s="21055">
        <v>46203.50634259259</v>
      </c>
      <c r="BK78" s="21056" t="s">
        <v>63</v>
      </c>
      <c r="BL78" s="21053">
        <v>57.85</v>
      </c>
      <c r="BM78" s="21053"/>
      <c r="BN78" s="21054"/>
      <c r="BO78" s="21055">
        <v>46204.50693287037</v>
      </c>
      <c r="BP78" s="21056" t="s">
        <v>63</v>
      </c>
      <c r="BQ78" s="21055">
        <v>46387.50716435185</v>
      </c>
      <c r="BR78" s="21056" t="s">
        <v>63</v>
      </c>
      <c r="BS78" s="21053">
        <v>57.85</v>
      </c>
      <c r="BT78" s="21053"/>
      <c r="BU78" s="21054"/>
      <c r="BV78" s="21055">
        <v>46388.50770833333</v>
      </c>
      <c r="BW78" s="21056" t="s">
        <v>63</v>
      </c>
      <c r="BX78" s="21055">
        <v>46568.50803240741</v>
      </c>
      <c r="BY78" s="21056" t="s">
        <v>63</v>
      </c>
      <c r="BZ78" s="21053">
        <v>58.14</v>
      </c>
      <c r="CA78" s="21053"/>
      <c r="CB78" s="21054"/>
      <c r="CC78" s="21055">
        <v>46569.508564814816</v>
      </c>
      <c r="CD78" s="21056" t="s">
        <v>63</v>
      </c>
      <c r="CE78" s="21055">
        <v>46752.50894675926</v>
      </c>
      <c r="CF78" s="21056" t="s">
        <v>63</v>
      </c>
      <c r="CG78" s="21053">
        <v>57.86</v>
      </c>
      <c r="CH78" s="21053"/>
      <c r="CI78" s="21054"/>
      <c r="CJ78" s="21055">
        <v>46753.509733796294</v>
      </c>
      <c r="CK78" s="21056" t="s">
        <v>63</v>
      </c>
      <c r="CL78" s="21055">
        <v>46934.510034722225</v>
      </c>
      <c r="CM78" s="21056" t="s">
        <v>63</v>
      </c>
      <c r="CN78" s="21053">
        <v>57.86</v>
      </c>
      <c r="CO78" s="21053"/>
      <c r="CP78" s="21054"/>
      <c r="CQ78" s="21055">
        <v>46935.51052083333</v>
      </c>
      <c r="CR78" s="21056" t="s">
        <v>63</v>
      </c>
      <c r="CS78" s="21055">
        <v>47118.51074074074</v>
      </c>
      <c r="CT78" s="21056" t="s">
        <v>63</v>
      </c>
      <c r="CU78" s="21653"/>
      <c r="CV7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8" s="21281">
        <f>STRCHECKDATE(V79:CU79)</f>
      </c>
      <c r="CX78" s="21633"/>
      <c r="CY78" s="21633" t="str">
        <f>IF(T78="","",T78)</f>
        <v/>
      </c>
      <c r="CZ78" s="21633"/>
      <c r="DA78" s="21633"/>
      <c r="DB78" s="21020">
        <v>0</v>
      </c>
    </row>
    <row s="53067" customFormat="1" customHeight="1" ht="14.25">
      <c r="A79" s="21621"/>
      <c r="B79" s="21621"/>
      <c r="C79" s="21621"/>
      <c r="D79" s="21621"/>
      <c r="E79" s="21622"/>
      <c r="F79" s="21622"/>
      <c r="G79" s="21622"/>
      <c r="H79" s="21622"/>
      <c r="I79" s="21647"/>
      <c r="J79" s="21647" t="str">
        <f>I72&amp;".1"</f>
        <v>1.3.1.1.1</v>
      </c>
      <c r="K79" s="21638"/>
      <c r="L79" s="21624"/>
      <c r="M79" s="21639"/>
      <c r="N79" s="21639"/>
      <c r="O79" s="21639"/>
      <c r="P79" s="21640"/>
      <c r="Q79" s="21640"/>
      <c r="R79" s="21648"/>
      <c r="S79" s="21656"/>
      <c r="T79" s="21631"/>
      <c r="U79" s="21631"/>
      <c r="V79" s="21063"/>
      <c r="W79" s="21063"/>
      <c r="X79" s="21064" t="str">
        <f>Y78&amp;"-"&amp;AA78</f>
        <v>-</v>
      </c>
      <c r="Y79" s="21065"/>
      <c r="Z79" s="21056"/>
      <c r="AA79" s="21065"/>
      <c r="AB79" s="21056"/>
      <c r="AC79" s="21063"/>
      <c r="AD79" s="21063"/>
      <c r="AE79" s="21064" t="str">
        <f>AF78&amp;"-"&amp;AH78</f>
        <v>45292.50304398148-45473.503229166665</v>
      </c>
      <c r="AF79" s="21065"/>
      <c r="AG79" s="21056"/>
      <c r="AH79" s="21324"/>
      <c r="AI79" s="21056"/>
      <c r="AJ79" s="21063"/>
      <c r="AK79" s="21063"/>
      <c r="AL79" s="21064" t="str">
        <f>AM78&amp;"-"&amp;AO78</f>
        <v>45474.50366898148-45657.50380787037</v>
      </c>
      <c r="AM79" s="21065"/>
      <c r="AN79" s="21056"/>
      <c r="AO79" s="21065"/>
      <c r="AP79" s="21056"/>
      <c r="AQ79" s="21063"/>
      <c r="AR79" s="21063"/>
      <c r="AS79" s="21064" t="str">
        <f>AT78&amp;"-"&amp;AV78</f>
        <v>45658.504282407404-45838.504525462966</v>
      </c>
      <c r="AT79" s="21065"/>
      <c r="AU79" s="21056"/>
      <c r="AV79" s="21065"/>
      <c r="AW79" s="21056"/>
      <c r="AX79" s="21063"/>
      <c r="AY79" s="21063"/>
      <c r="AZ79" s="21064" t="str">
        <f>BA78&amp;"-"&amp;BC78</f>
        <v>45839.50508101852-46022.505324074074</v>
      </c>
      <c r="BA79" s="21065"/>
      <c r="BB79" s="21056"/>
      <c r="BC79" s="21065"/>
      <c r="BD79" s="21056"/>
      <c r="BE79" s="21063"/>
      <c r="BF79" s="21063"/>
      <c r="BG79" s="21064" t="str">
        <f>BH78&amp;"-"&amp;BJ78</f>
        <v>46023.506053240744-46203.50634259259</v>
      </c>
      <c r="BH79" s="21065"/>
      <c r="BI79" s="21056"/>
      <c r="BJ79" s="21065"/>
      <c r="BK79" s="21056"/>
      <c r="BL79" s="21063"/>
      <c r="BM79" s="21063"/>
      <c r="BN79" s="21064" t="str">
        <f>BO78&amp;"-"&amp;BQ78</f>
        <v>46204.50693287037-46387.50716435185</v>
      </c>
      <c r="BO79" s="21065"/>
      <c r="BP79" s="21056"/>
      <c r="BQ79" s="21065"/>
      <c r="BR79" s="21056"/>
      <c r="BS79" s="21063"/>
      <c r="BT79" s="21063"/>
      <c r="BU79" s="21064" t="str">
        <f>BV78&amp;"-"&amp;BX78</f>
        <v>46388.50770833333-46568.50803240741</v>
      </c>
      <c r="BV79" s="21065"/>
      <c r="BW79" s="21056"/>
      <c r="BX79" s="21065"/>
      <c r="BY79" s="21056"/>
      <c r="BZ79" s="21063"/>
      <c r="CA79" s="21063"/>
      <c r="CB79" s="21064" t="str">
        <f>CC78&amp;"-"&amp;CE78</f>
        <v>46569.508564814816-46752.50894675926</v>
      </c>
      <c r="CC79" s="21065"/>
      <c r="CD79" s="21056"/>
      <c r="CE79" s="21065"/>
      <c r="CF79" s="21056"/>
      <c r="CG79" s="21063"/>
      <c r="CH79" s="21063"/>
      <c r="CI79" s="21064" t="str">
        <f>CJ78&amp;"-"&amp;CL78</f>
        <v>46753.509733796294-46934.510034722225</v>
      </c>
      <c r="CJ79" s="21065"/>
      <c r="CK79" s="21056"/>
      <c r="CL79" s="21065"/>
      <c r="CM79" s="21056"/>
      <c r="CN79" s="21063"/>
      <c r="CO79" s="21063"/>
      <c r="CP79" s="21064" t="str">
        <f>CQ78&amp;"-"&amp;CS78</f>
        <v>46935.51052083333-47118.51074074074</v>
      </c>
      <c r="CQ79" s="21065"/>
      <c r="CR79" s="21056"/>
      <c r="CS79" s="21065"/>
      <c r="CT79" s="21056"/>
      <c r="CU79" s="21657"/>
      <c r="CV79" s="21654"/>
      <c r="CW79" s="21281"/>
      <c r="CX79" s="21633"/>
      <c r="CY79" s="21633" t="str">
        <f>IF(T79="","",T79)</f>
        <v/>
      </c>
      <c r="CZ79" s="21633"/>
      <c r="DA79" s="21633"/>
      <c r="DB79" s="21020">
        <v>0</v>
      </c>
    </row>
    <row s="53068" customFormat="1" customHeight="1" ht="21">
      <c r="A80" s="21621"/>
      <c r="B80" s="21621"/>
      <c r="C80" s="21621"/>
      <c r="D80" s="21621"/>
      <c r="E80" s="21622"/>
      <c r="F80" s="21622"/>
      <c r="G80" s="21622"/>
      <c r="H80" s="21622"/>
      <c r="I80" s="21647"/>
      <c r="J80" s="21638" t="str">
        <f>I72&amp;".1"</f>
        <v>1.3.1.1.1</v>
      </c>
      <c r="K80" s="21621"/>
      <c r="L80" s="21624"/>
      <c r="M80" s="21639"/>
      <c r="N80" s="21639"/>
      <c r="O80" s="21639"/>
      <c r="P80" s="21640"/>
      <c r="Q80" s="21640"/>
      <c r="R80" s="21641"/>
      <c r="S80" s="22095"/>
      <c r="T80" s="22096" t="s">
        <v>622</v>
      </c>
      <c r="U80" s="22097"/>
      <c r="V80" s="22098"/>
      <c r="W80" s="22099"/>
      <c r="X80" s="22100"/>
      <c r="Y80" s="22101"/>
      <c r="Z80" s="22102"/>
      <c r="AA80" s="22103"/>
      <c r="AB80" s="22104"/>
      <c r="AC80" s="22105"/>
      <c r="AD80" s="22106"/>
      <c r="AE80" s="22107"/>
      <c r="AF80" s="22108"/>
      <c r="AG80" s="22109"/>
      <c r="AH80" s="22110"/>
      <c r="AI80" s="22111"/>
      <c r="AJ80" s="22112"/>
      <c r="AK80" s="22113"/>
      <c r="AL80" s="22114"/>
      <c r="AM80" s="22115"/>
      <c r="AN80" s="22116"/>
      <c r="AO80" s="22117"/>
      <c r="AP80" s="22118"/>
      <c r="AQ80" s="22119"/>
      <c r="AR80" s="22120"/>
      <c r="AS80" s="22121"/>
      <c r="AT80" s="22122"/>
      <c r="AU80" s="22123"/>
      <c r="AV80" s="22124"/>
      <c r="AW80" s="22125"/>
      <c r="AX80" s="22126"/>
      <c r="AY80" s="22127"/>
      <c r="AZ80" s="22128"/>
      <c r="BA80" s="22129"/>
      <c r="BB80" s="22130"/>
      <c r="BC80" s="22131"/>
      <c r="BD80" s="22132"/>
      <c r="BE80" s="22133"/>
      <c r="BF80" s="22134"/>
      <c r="BG80" s="22135"/>
      <c r="BH80" s="22136"/>
      <c r="BI80" s="22137"/>
      <c r="BJ80" s="22138"/>
      <c r="BK80" s="22139"/>
      <c r="BL80" s="22140"/>
      <c r="BM80" s="22141"/>
      <c r="BN80" s="22142"/>
      <c r="BO80" s="22143"/>
      <c r="BP80" s="22144"/>
      <c r="BQ80" s="22145"/>
      <c r="BR80" s="22146"/>
      <c r="BS80" s="22147"/>
      <c r="BT80" s="22148"/>
      <c r="BU80" s="22149"/>
      <c r="BV80" s="22150"/>
      <c r="BW80" s="22151"/>
      <c r="BX80" s="22152"/>
      <c r="BY80" s="22153"/>
      <c r="BZ80" s="22154"/>
      <c r="CA80" s="22155"/>
      <c r="CB80" s="22156"/>
      <c r="CC80" s="22157"/>
      <c r="CD80" s="22158"/>
      <c r="CE80" s="22159"/>
      <c r="CF80" s="22160"/>
      <c r="CG80" s="22161"/>
      <c r="CH80" s="22162"/>
      <c r="CI80" s="22163"/>
      <c r="CJ80" s="22164"/>
      <c r="CK80" s="22165"/>
      <c r="CL80" s="22166"/>
      <c r="CM80" s="22167"/>
      <c r="CN80" s="22168"/>
      <c r="CO80" s="22169"/>
      <c r="CP80" s="22170"/>
      <c r="CQ80" s="22171"/>
      <c r="CR80" s="22172"/>
      <c r="CS80" s="22173"/>
      <c r="CT80" s="22174"/>
      <c r="CU80" s="22175"/>
      <c r="CV80" s="21632" t="s">
        <v>623</v>
      </c>
      <c r="CW80" s="21281"/>
      <c r="CX80" s="21633"/>
      <c r="CY80" s="21633" t="str">
        <f>IF(T80="","",T80)</f>
        <v>Добавить значение признака дифференциации</v>
      </c>
      <c r="CZ80" s="21633"/>
      <c r="DA80" s="21633"/>
      <c r="DB80" s="21020">
        <v>0</v>
      </c>
    </row>
    <row s="53150" customFormat="1" customHeight="1" ht="21">
      <c r="A81" s="21621"/>
      <c r="B81" s="21621"/>
      <c r="C81" s="21621"/>
      <c r="D81" s="21621"/>
      <c r="E81" s="21622"/>
      <c r="F81" s="21622" t="s">
        <v>105</v>
      </c>
      <c r="G81" s="21622"/>
      <c r="H81" s="21622"/>
      <c r="I81" s="21638"/>
      <c r="J81" s="21621"/>
      <c r="K81" s="21621"/>
      <c r="L81" s="21624"/>
      <c r="M81" s="21639"/>
      <c r="N81" s="21639"/>
      <c r="O81" s="21639"/>
      <c r="P81" s="21640"/>
      <c r="Q81" s="21640"/>
      <c r="R81" s="21641"/>
      <c r="S81" s="22177"/>
      <c r="T81" s="22178" t="s">
        <v>551</v>
      </c>
      <c r="U81" s="22179"/>
      <c r="V81" s="22180"/>
      <c r="W81" s="22181"/>
      <c r="X81" s="22182"/>
      <c r="Y81" s="22183"/>
      <c r="Z81" s="22184"/>
      <c r="AA81" s="22185"/>
      <c r="AB81" s="22186"/>
      <c r="AC81" s="22187"/>
      <c r="AD81" s="22188"/>
      <c r="AE81" s="22189"/>
      <c r="AF81" s="22190"/>
      <c r="AG81" s="22191"/>
      <c r="AH81" s="22192"/>
      <c r="AI81" s="22193"/>
      <c r="AJ81" s="22194"/>
      <c r="AK81" s="22195"/>
      <c r="AL81" s="22196"/>
      <c r="AM81" s="22197"/>
      <c r="AN81" s="22198"/>
      <c r="AO81" s="22199"/>
      <c r="AP81" s="22200"/>
      <c r="AQ81" s="22201"/>
      <c r="AR81" s="22202"/>
      <c r="AS81" s="22203"/>
      <c r="AT81" s="22204"/>
      <c r="AU81" s="22205"/>
      <c r="AV81" s="22206"/>
      <c r="AW81" s="22207"/>
      <c r="AX81" s="22208"/>
      <c r="AY81" s="22209"/>
      <c r="AZ81" s="22210"/>
      <c r="BA81" s="22211"/>
      <c r="BB81" s="22212"/>
      <c r="BC81" s="22213"/>
      <c r="BD81" s="22214"/>
      <c r="BE81" s="22215"/>
      <c r="BF81" s="22216"/>
      <c r="BG81" s="22217"/>
      <c r="BH81" s="22218"/>
      <c r="BI81" s="22219"/>
      <c r="BJ81" s="22220"/>
      <c r="BK81" s="22221"/>
      <c r="BL81" s="22222"/>
      <c r="BM81" s="22223"/>
      <c r="BN81" s="22224"/>
      <c r="BO81" s="22225"/>
      <c r="BP81" s="22226"/>
      <c r="BQ81" s="22227"/>
      <c r="BR81" s="22228"/>
      <c r="BS81" s="22229"/>
      <c r="BT81" s="22230"/>
      <c r="BU81" s="22231"/>
      <c r="BV81" s="22232"/>
      <c r="BW81" s="22233"/>
      <c r="BX81" s="22234"/>
      <c r="BY81" s="22235"/>
      <c r="BZ81" s="22236"/>
      <c r="CA81" s="22237"/>
      <c r="CB81" s="22238"/>
      <c r="CC81" s="22239"/>
      <c r="CD81" s="22240"/>
      <c r="CE81" s="22241"/>
      <c r="CF81" s="22242"/>
      <c r="CG81" s="22243"/>
      <c r="CH81" s="22244"/>
      <c r="CI81" s="22245"/>
      <c r="CJ81" s="22246"/>
      <c r="CK81" s="22247"/>
      <c r="CL81" s="22248"/>
      <c r="CM81" s="22249"/>
      <c r="CN81" s="22250"/>
      <c r="CO81" s="22251"/>
      <c r="CP81" s="22252"/>
      <c r="CQ81" s="22253"/>
      <c r="CR81" s="22254"/>
      <c r="CS81" s="22255"/>
      <c r="CT81" s="22256"/>
      <c r="CU81" s="22257"/>
      <c r="CV81" s="22258"/>
      <c r="CW81" s="21281"/>
      <c r="CX81" s="21633"/>
      <c r="CY81" s="21633" t="str">
        <f>IF(T81="","",T81)</f>
        <v>Добавить группу потребителей</v>
      </c>
      <c r="CZ81" s="21633"/>
      <c r="DA81" s="21633"/>
      <c r="DB81" s="21020">
        <v>0</v>
      </c>
    </row>
    <row s="53233" customFormat="1" customHeight="1" ht="14.25">
      <c r="A82" s="21621"/>
      <c r="B82" s="21621"/>
      <c r="C82" s="21621"/>
      <c r="D82" s="21621"/>
      <c r="E82" s="21622"/>
      <c r="F82" s="21622" t="s">
        <v>105</v>
      </c>
      <c r="G82" s="21622"/>
      <c r="H82" s="21623"/>
      <c r="I82" s="21621"/>
      <c r="J82" s="21621"/>
      <c r="K82" s="21621"/>
      <c r="L82" s="21624"/>
      <c r="M82" s="21625"/>
      <c r="N82" s="21625"/>
      <c r="O82" s="21264"/>
      <c r="P82" s="21910"/>
      <c r="Q82" s="21911"/>
      <c r="R82" s="21912"/>
      <c r="S82" s="22260"/>
      <c r="T82" s="22261" t="s">
        <v>624</v>
      </c>
      <c r="U82" s="22262"/>
      <c r="V82" s="22263"/>
      <c r="W82" s="22264"/>
      <c r="X82" s="22265"/>
      <c r="Y82" s="22266"/>
      <c r="Z82" s="22267"/>
      <c r="AA82" s="22268"/>
      <c r="AB82" s="22269"/>
      <c r="AC82" s="22270"/>
      <c r="AD82" s="22271"/>
      <c r="AE82" s="22272"/>
      <c r="AF82" s="22273"/>
      <c r="AG82" s="22274"/>
      <c r="AH82" s="22275"/>
      <c r="AI82" s="22276"/>
      <c r="AJ82" s="22277"/>
      <c r="AK82" s="22278"/>
      <c r="AL82" s="22279"/>
      <c r="AM82" s="22280"/>
      <c r="AN82" s="22281"/>
      <c r="AO82" s="22282"/>
      <c r="AP82" s="22283"/>
      <c r="AQ82" s="22284"/>
      <c r="AR82" s="22285"/>
      <c r="AS82" s="22286"/>
      <c r="AT82" s="22287"/>
      <c r="AU82" s="22288"/>
      <c r="AV82" s="22289"/>
      <c r="AW82" s="22290"/>
      <c r="AX82" s="22291"/>
      <c r="AY82" s="22292"/>
      <c r="AZ82" s="22293"/>
      <c r="BA82" s="22294"/>
      <c r="BB82" s="22295"/>
      <c r="BC82" s="22296"/>
      <c r="BD82" s="22297"/>
      <c r="BE82" s="22298"/>
      <c r="BF82" s="22299"/>
      <c r="BG82" s="22300"/>
      <c r="BH82" s="22301"/>
      <c r="BI82" s="22302"/>
      <c r="BJ82" s="22303"/>
      <c r="BK82" s="22304"/>
      <c r="BL82" s="22305"/>
      <c r="BM82" s="22306"/>
      <c r="BN82" s="22307"/>
      <c r="BO82" s="22308"/>
      <c r="BP82" s="22309"/>
      <c r="BQ82" s="22310"/>
      <c r="BR82" s="22311"/>
      <c r="BS82" s="22312"/>
      <c r="BT82" s="22313"/>
      <c r="BU82" s="22314"/>
      <c r="BV82" s="22315"/>
      <c r="BW82" s="22316"/>
      <c r="BX82" s="22317"/>
      <c r="BY82" s="22318"/>
      <c r="BZ82" s="22319"/>
      <c r="CA82" s="22320"/>
      <c r="CB82" s="22321"/>
      <c r="CC82" s="22322"/>
      <c r="CD82" s="22323"/>
      <c r="CE82" s="22324"/>
      <c r="CF82" s="22325"/>
      <c r="CG82" s="22326"/>
      <c r="CH82" s="22327"/>
      <c r="CI82" s="22328"/>
      <c r="CJ82" s="22329"/>
      <c r="CK82" s="22330"/>
      <c r="CL82" s="22331"/>
      <c r="CM82" s="22332"/>
      <c r="CN82" s="22333"/>
      <c r="CO82" s="22334"/>
      <c r="CP82" s="22335"/>
      <c r="CQ82" s="22336"/>
      <c r="CR82" s="22337"/>
      <c r="CS82" s="22338"/>
      <c r="CT82" s="22339"/>
      <c r="CU82" s="22340"/>
      <c r="CV82" s="22341"/>
      <c r="CW82" s="21281"/>
      <c r="CX82" s="21633"/>
      <c r="CY82" s="21633" t="str">
        <f>IF(T82="","",T82)</f>
        <v>Добавить наименование признака дифференциации</v>
      </c>
      <c r="CZ82" s="21633"/>
      <c r="DA82" s="21633"/>
      <c r="DB82" s="21020">
        <v>0</v>
      </c>
    </row>
    <row s="53316" customFormat="1" customHeight="1" ht="14.25">
      <c r="A83" s="21996"/>
      <c r="B83" s="21996"/>
      <c r="C83" s="21996"/>
      <c r="D83" s="21996"/>
      <c r="E83" s="21622"/>
      <c r="F83" s="21623" t="s">
        <v>105</v>
      </c>
      <c r="G83" s="21996"/>
      <c r="H83" s="21996"/>
      <c r="I83" s="21996"/>
      <c r="J83" s="21996"/>
      <c r="K83" s="21996"/>
      <c r="L83" s="21997"/>
      <c r="M83" s="21998"/>
      <c r="N83" s="21998"/>
      <c r="O83" s="21281"/>
      <c r="P83" s="21999"/>
      <c r="Q83" s="22000"/>
      <c r="R83" s="21999"/>
      <c r="S83" s="22001"/>
      <c r="T83" s="22002" t="s">
        <v>290</v>
      </c>
      <c r="U83" s="21260"/>
      <c r="V83" s="21260"/>
      <c r="W83" s="21260"/>
      <c r="X83" s="21260"/>
      <c r="Y83" s="21260"/>
      <c r="Z83" s="21260"/>
      <c r="AA83" s="21260"/>
      <c r="AB83" s="21260"/>
      <c r="AC83" s="21260"/>
      <c r="AD83" s="21260"/>
      <c r="AE83" s="21260"/>
      <c r="AF83" s="21260"/>
      <c r="AG83" s="21260"/>
      <c r="AH83" s="21260"/>
      <c r="AI83" s="21260"/>
      <c r="AJ83" s="21260"/>
      <c r="AK83" s="21260"/>
      <c r="AL83" s="21260"/>
      <c r="AM83" s="21260"/>
      <c r="AN83" s="21260"/>
      <c r="AO83" s="21260"/>
      <c r="AP83" s="21260"/>
      <c r="AQ83" s="21260"/>
      <c r="AR83" s="21260"/>
      <c r="AS83" s="21260"/>
      <c r="AT83" s="21260"/>
      <c r="AU83" s="21260"/>
      <c r="AV83" s="21260"/>
      <c r="AW83" s="21260"/>
      <c r="AX83" s="21260"/>
      <c r="AY83" s="21260"/>
      <c r="AZ83" s="21260"/>
      <c r="BA83" s="21260"/>
      <c r="BB83" s="21260"/>
      <c r="BC83" s="21260"/>
      <c r="BD83" s="21260"/>
      <c r="BE83" s="21260"/>
      <c r="BF83" s="21260"/>
      <c r="BG83" s="21260"/>
      <c r="BH83" s="21260"/>
      <c r="BI83" s="21260"/>
      <c r="BJ83" s="21260"/>
      <c r="BK83" s="21260"/>
      <c r="BL83" s="21260"/>
      <c r="BM83" s="21260"/>
      <c r="BN83" s="21260"/>
      <c r="BO83" s="21260"/>
      <c r="BP83" s="21260"/>
      <c r="BQ83" s="21260"/>
      <c r="BR83" s="21260"/>
      <c r="BS83" s="21260"/>
      <c r="BT83" s="21260"/>
      <c r="BU83" s="21260"/>
      <c r="BV83" s="21260"/>
      <c r="BW83" s="21260"/>
      <c r="BX83" s="21260"/>
      <c r="BY83" s="21260"/>
      <c r="BZ83" s="21260"/>
      <c r="CA83" s="21260"/>
      <c r="CB83" s="21260"/>
      <c r="CC83" s="21260"/>
      <c r="CD83" s="21260"/>
      <c r="CE83" s="21260"/>
      <c r="CF83" s="21260"/>
      <c r="CG83" s="21260"/>
      <c r="CH83" s="21260"/>
      <c r="CI83" s="21260"/>
      <c r="CJ83" s="21260"/>
      <c r="CK83" s="21260"/>
      <c r="CL83" s="21260"/>
      <c r="CM83" s="21260"/>
      <c r="CN83" s="21260"/>
      <c r="CO83" s="21260"/>
      <c r="CP83" s="21260"/>
      <c r="CQ83" s="21260"/>
      <c r="CR83" s="21260"/>
      <c r="CS83" s="21260"/>
      <c r="CT83" s="21260"/>
      <c r="CU83" s="21260"/>
      <c r="CV83" s="21260"/>
      <c r="CW83" s="21281"/>
      <c r="CX83" s="21633"/>
      <c r="CY83" s="21633" t="str">
        <f>IF(T83="","",T83)</f>
        <v>Добавить централизованную систему для дифференциации</v>
      </c>
      <c r="CZ83" s="21633"/>
      <c r="DA83" s="21633"/>
      <c r="DB83" s="21281">
        <v>0</v>
      </c>
    </row>
    <row s="53317" customFormat="1" customHeight="1" ht="23.25">
      <c r="A84" s="21621"/>
      <c r="B84" s="21621" t="s">
        <v>300</v>
      </c>
      <c r="C84" s="21621"/>
      <c r="D84" s="21621"/>
      <c r="E84" s="21622"/>
      <c r="F84" s="21623" t="s">
        <v>93</v>
      </c>
      <c r="G84" s="21621"/>
      <c r="H84" s="21621"/>
      <c r="I84" s="21621"/>
      <c r="J84" s="21621"/>
      <c r="K84" s="21621"/>
      <c r="L84" s="21624"/>
      <c r="M84" s="21625"/>
      <c r="N84" s="21625"/>
      <c r="O84" s="21625"/>
      <c r="P84" s="21626"/>
      <c r="Q84" s="21627"/>
      <c r="R84" s="21628"/>
      <c r="S84" s="21629" t="str">
        <f>INDEX(PT_DIFFERENTIATION_NUM_TER,MATCH(B84,PT_DIFFERENTIATION_TER_ID,0))</f>
        <v>1.4</v>
      </c>
      <c r="T84" s="21630" t="s">
        <v>536</v>
      </c>
      <c r="U84" s="21631"/>
      <c r="V84" s="21025"/>
      <c r="W84" s="21026"/>
      <c r="X84" s="21026"/>
      <c r="Y84" s="21026"/>
      <c r="Z84" s="21026"/>
      <c r="AA84" s="21026"/>
      <c r="AB84" s="21027"/>
      <c r="AC84" s="21025" t="str">
        <f>INDEX(PT_DIFFERENTIATION_TER,MATCH(B84,PT_DIFFERENTIATION_TER_ID,0))</f>
        <v>Территория 4</v>
      </c>
      <c r="AD84" s="21026"/>
      <c r="AE84" s="21026"/>
      <c r="AF84" s="21026"/>
      <c r="AG84" s="21026"/>
      <c r="AH84" s="21026"/>
      <c r="AI84" s="21026"/>
      <c r="AJ84" s="21025"/>
      <c r="AK84" s="21026"/>
      <c r="AL84" s="21026"/>
      <c r="AM84" s="21026"/>
      <c r="AN84" s="21026"/>
      <c r="AO84" s="21026"/>
      <c r="AP84" s="21027"/>
      <c r="AQ84" s="21025"/>
      <c r="AR84" s="21026"/>
      <c r="AS84" s="21026"/>
      <c r="AT84" s="21026"/>
      <c r="AU84" s="21026"/>
      <c r="AV84" s="21026"/>
      <c r="AW84" s="21027"/>
      <c r="AX84" s="21025"/>
      <c r="AY84" s="21026"/>
      <c r="AZ84" s="21026"/>
      <c r="BA84" s="21026"/>
      <c r="BB84" s="21026"/>
      <c r="BC84" s="21026"/>
      <c r="BD84" s="21027"/>
      <c r="BE84" s="21025"/>
      <c r="BF84" s="21026"/>
      <c r="BG84" s="21026"/>
      <c r="BH84" s="21026"/>
      <c r="BI84" s="21026"/>
      <c r="BJ84" s="21026"/>
      <c r="BK84" s="21027"/>
      <c r="BL84" s="21025"/>
      <c r="BM84" s="21026"/>
      <c r="BN84" s="21026"/>
      <c r="BO84" s="21026"/>
      <c r="BP84" s="21026"/>
      <c r="BQ84" s="21026"/>
      <c r="BR84" s="21027"/>
      <c r="BS84" s="21025"/>
      <c r="BT84" s="21026"/>
      <c r="BU84" s="21026"/>
      <c r="BV84" s="21026"/>
      <c r="BW84" s="21026"/>
      <c r="BX84" s="21026"/>
      <c r="BY84" s="21027"/>
      <c r="BZ84" s="21025"/>
      <c r="CA84" s="21026"/>
      <c r="CB84" s="21026"/>
      <c r="CC84" s="21026"/>
      <c r="CD84" s="21026"/>
      <c r="CE84" s="21026"/>
      <c r="CF84" s="21027"/>
      <c r="CG84" s="21025"/>
      <c r="CH84" s="21026"/>
      <c r="CI84" s="21026"/>
      <c r="CJ84" s="21026"/>
      <c r="CK84" s="21026"/>
      <c r="CL84" s="21026"/>
      <c r="CM84" s="21027"/>
      <c r="CN84" s="21025"/>
      <c r="CO84" s="21026"/>
      <c r="CP84" s="21026"/>
      <c r="CQ84" s="21026"/>
      <c r="CR84" s="21026"/>
      <c r="CS84" s="21026"/>
      <c r="CT84" s="21027"/>
      <c r="CU84" s="21027"/>
      <c r="CV84" s="21632" t="s">
        <v>537</v>
      </c>
      <c r="CW84" s="21281"/>
      <c r="CX84" s="21633"/>
      <c r="CY84" s="21633" t="str">
        <f>IF(T84="","",T84)</f>
        <v>Территория действия тарифа</v>
      </c>
      <c r="CZ84" s="21633"/>
      <c r="DA84" s="21633"/>
      <c r="DB84" s="21020">
        <v>0</v>
      </c>
    </row>
    <row s="53318" customFormat="1" customHeight="1" ht="23.25">
      <c r="A85" s="21621"/>
      <c r="B85" s="21621"/>
      <c r="C85" s="21621" t="s">
        <v>301</v>
      </c>
      <c r="D85" s="21621"/>
      <c r="E85" s="21622"/>
      <c r="F85" s="21622" t="s">
        <v>92</v>
      </c>
      <c r="G85" s="21623">
        <v>1</v>
      </c>
      <c r="H85" s="21621"/>
      <c r="I85" s="21621"/>
      <c r="J85" s="21621"/>
      <c r="K85" s="21621"/>
      <c r="L85" s="21624"/>
      <c r="M85" s="21625"/>
      <c r="N85" s="21625"/>
      <c r="O85" s="21625"/>
      <c r="P85" s="21635"/>
      <c r="Q85" s="21627"/>
      <c r="R85" s="21628"/>
      <c r="S85" s="21629" t="str">
        <f>INDEX(PT_DIFFERENTIATION_NUM_CS,MATCH(C85,PT_DIFFERENTIATION_CS_ID,0))</f>
        <v>1.4.1</v>
      </c>
      <c r="T85" s="21636" t="s">
        <v>617</v>
      </c>
      <c r="U85" s="21631"/>
      <c r="V85" s="21025"/>
      <c r="W85" s="21026"/>
      <c r="X85" s="21026"/>
      <c r="Y85" s="21026"/>
      <c r="Z85" s="21026"/>
      <c r="AA85" s="21026"/>
      <c r="AB85" s="21027"/>
      <c r="AC85" s="21025" t="str">
        <f>INDEX(PT_DIFFERENTIATION_CS,MATCH(C85,PT_DIFFERENTIATION_CS_ID,0))</f>
        <v>Кавалеровский МО</v>
      </c>
      <c r="AD85" s="21026"/>
      <c r="AE85" s="21026"/>
      <c r="AF85" s="21026"/>
      <c r="AG85" s="21026"/>
      <c r="AH85" s="21026"/>
      <c r="AI85" s="21026"/>
      <c r="AJ85" s="21025"/>
      <c r="AK85" s="21026"/>
      <c r="AL85" s="21026"/>
      <c r="AM85" s="21026"/>
      <c r="AN85" s="21026"/>
      <c r="AO85" s="21026"/>
      <c r="AP85" s="21027"/>
      <c r="AQ85" s="21025"/>
      <c r="AR85" s="21026"/>
      <c r="AS85" s="21026"/>
      <c r="AT85" s="21026"/>
      <c r="AU85" s="21026"/>
      <c r="AV85" s="21026"/>
      <c r="AW85" s="21027"/>
      <c r="AX85" s="21025"/>
      <c r="AY85" s="21026"/>
      <c r="AZ85" s="21026"/>
      <c r="BA85" s="21026"/>
      <c r="BB85" s="21026"/>
      <c r="BC85" s="21026"/>
      <c r="BD85" s="21027"/>
      <c r="BE85" s="21025"/>
      <c r="BF85" s="21026"/>
      <c r="BG85" s="21026"/>
      <c r="BH85" s="21026"/>
      <c r="BI85" s="21026"/>
      <c r="BJ85" s="21026"/>
      <c r="BK85" s="21027"/>
      <c r="BL85" s="21025"/>
      <c r="BM85" s="21026"/>
      <c r="BN85" s="21026"/>
      <c r="BO85" s="21026"/>
      <c r="BP85" s="21026"/>
      <c r="BQ85" s="21026"/>
      <c r="BR85" s="21027"/>
      <c r="BS85" s="21025"/>
      <c r="BT85" s="21026"/>
      <c r="BU85" s="21026"/>
      <c r="BV85" s="21026"/>
      <c r="BW85" s="21026"/>
      <c r="BX85" s="21026"/>
      <c r="BY85" s="21027"/>
      <c r="BZ85" s="21025"/>
      <c r="CA85" s="21026"/>
      <c r="CB85" s="21026"/>
      <c r="CC85" s="21026"/>
      <c r="CD85" s="21026"/>
      <c r="CE85" s="21026"/>
      <c r="CF85" s="21027"/>
      <c r="CG85" s="21025"/>
      <c r="CH85" s="21026"/>
      <c r="CI85" s="21026"/>
      <c r="CJ85" s="21026"/>
      <c r="CK85" s="21026"/>
      <c r="CL85" s="21026"/>
      <c r="CM85" s="21027"/>
      <c r="CN85" s="21025"/>
      <c r="CO85" s="21026"/>
      <c r="CP85" s="21026"/>
      <c r="CQ85" s="21026"/>
      <c r="CR85" s="21026"/>
      <c r="CS85" s="21026"/>
      <c r="CT85" s="21027"/>
      <c r="CU85" s="21027"/>
      <c r="CV85" s="21632" t="s">
        <v>618</v>
      </c>
      <c r="CW85" s="21281"/>
      <c r="CX85" s="21633"/>
      <c r="CY85" s="21633" t="str">
        <f>IF(T85="","",T85)</f>
        <v>Наименование централизованной системы холодного водоснабжения</v>
      </c>
      <c r="CZ85" s="21633"/>
      <c r="DA85" s="21633"/>
      <c r="DB85" s="21020">
        <v>0</v>
      </c>
    </row>
    <row s="53319" customFormat="1" customHeight="1" ht="23.25">
      <c r="A86" s="21621"/>
      <c r="B86" s="21621"/>
      <c r="C86" s="21621"/>
      <c r="D86" s="21621"/>
      <c r="E86" s="21622"/>
      <c r="F86" s="21622" t="s">
        <v>92</v>
      </c>
      <c r="G86" s="21622"/>
      <c r="H86" s="21622"/>
      <c r="I86" s="21638" t="str">
        <f>S85&amp;".1"</f>
        <v>1.4.1.1</v>
      </c>
      <c r="J86" s="21621"/>
      <c r="K86" s="21621"/>
      <c r="L86" s="21624"/>
      <c r="M86" s="21639"/>
      <c r="N86" s="21639"/>
      <c r="O86" s="21639"/>
      <c r="P86" s="21640">
        <v>1</v>
      </c>
      <c r="Q86" s="21640"/>
      <c r="R86" s="21641"/>
      <c r="S86" s="21629" t="str">
        <f>$I86</f>
        <v>1.4.1.1</v>
      </c>
      <c r="T86" s="21642" t="s">
        <v>619</v>
      </c>
      <c r="U86" s="21631"/>
      <c r="V86" s="21038"/>
      <c r="W86" s="21039"/>
      <c r="X86" s="21039"/>
      <c r="Y86" s="21039"/>
      <c r="Z86" s="21039"/>
      <c r="AA86" s="21039"/>
      <c r="AB86" s="21040"/>
      <c r="AC86" s="21643"/>
      <c r="AD86" s="21644"/>
      <c r="AE86" s="21644"/>
      <c r="AF86" s="21644"/>
      <c r="AG86" s="21644"/>
      <c r="AH86" s="21644"/>
      <c r="AI86" s="21644"/>
      <c r="AJ86" s="21038"/>
      <c r="AK86" s="21039"/>
      <c r="AL86" s="21039"/>
      <c r="AM86" s="21039"/>
      <c r="AN86" s="21039"/>
      <c r="AO86" s="21039"/>
      <c r="AP86" s="21040"/>
      <c r="AQ86" s="21038"/>
      <c r="AR86" s="21039"/>
      <c r="AS86" s="21039"/>
      <c r="AT86" s="21039"/>
      <c r="AU86" s="21039"/>
      <c r="AV86" s="21039"/>
      <c r="AW86" s="21040"/>
      <c r="AX86" s="21038"/>
      <c r="AY86" s="21039"/>
      <c r="AZ86" s="21039"/>
      <c r="BA86" s="21039"/>
      <c r="BB86" s="21039"/>
      <c r="BC86" s="21039"/>
      <c r="BD86" s="21040"/>
      <c r="BE86" s="21038"/>
      <c r="BF86" s="21039"/>
      <c r="BG86" s="21039"/>
      <c r="BH86" s="21039"/>
      <c r="BI86" s="21039"/>
      <c r="BJ86" s="21039"/>
      <c r="BK86" s="21040"/>
      <c r="BL86" s="21038"/>
      <c r="BM86" s="21039"/>
      <c r="BN86" s="21039"/>
      <c r="BO86" s="21039"/>
      <c r="BP86" s="21039"/>
      <c r="BQ86" s="21039"/>
      <c r="BR86" s="21040"/>
      <c r="BS86" s="21038"/>
      <c r="BT86" s="21039"/>
      <c r="BU86" s="21039"/>
      <c r="BV86" s="21039"/>
      <c r="BW86" s="21039"/>
      <c r="BX86" s="21039"/>
      <c r="BY86" s="21040"/>
      <c r="BZ86" s="21038"/>
      <c r="CA86" s="21039"/>
      <c r="CB86" s="21039"/>
      <c r="CC86" s="21039"/>
      <c r="CD86" s="21039"/>
      <c r="CE86" s="21039"/>
      <c r="CF86" s="21040"/>
      <c r="CG86" s="21038"/>
      <c r="CH86" s="21039"/>
      <c r="CI86" s="21039"/>
      <c r="CJ86" s="21039"/>
      <c r="CK86" s="21039"/>
      <c r="CL86" s="21039"/>
      <c r="CM86" s="21040"/>
      <c r="CN86" s="21038"/>
      <c r="CO86" s="21039"/>
      <c r="CP86" s="21039"/>
      <c r="CQ86" s="21039"/>
      <c r="CR86" s="21039"/>
      <c r="CS86" s="21039"/>
      <c r="CT86" s="21040"/>
      <c r="CU86" s="21645"/>
      <c r="CV86" s="21632" t="s">
        <v>620</v>
      </c>
      <c r="CW86" s="21281"/>
      <c r="CX86" s="21633"/>
      <c r="CY86" s="21633" t="str">
        <f>IF(T86="","",T86)</f>
        <v>Наименование признака дифференциации</v>
      </c>
      <c r="CZ86" s="21633"/>
      <c r="DA86" s="21633"/>
      <c r="DB86" s="21020">
        <v>0</v>
      </c>
    </row>
    <row s="53320" customFormat="1" customHeight="1" ht="23.25">
      <c r="A87" s="21621"/>
      <c r="B87" s="21621"/>
      <c r="C87" s="21621"/>
      <c r="D87" s="21621"/>
      <c r="E87" s="21622"/>
      <c r="F87" s="21622" t="s">
        <v>92</v>
      </c>
      <c r="G87" s="21622"/>
      <c r="H87" s="21622"/>
      <c r="I87" s="21647"/>
      <c r="J87" s="21638" t="str">
        <f>I86&amp;".1"</f>
        <v>1.4.1.1.1</v>
      </c>
      <c r="K87" s="21621"/>
      <c r="L87" s="21624" t="s">
        <v>545</v>
      </c>
      <c r="M87" s="21639"/>
      <c r="N87" s="21639"/>
      <c r="O87" s="21639"/>
      <c r="P87" s="21640"/>
      <c r="Q87" s="21640">
        <v>1</v>
      </c>
      <c r="R87" s="21648"/>
      <c r="S87" s="21629" t="str">
        <f>$J87</f>
        <v>1.4.1.1.1</v>
      </c>
      <c r="T87" s="21649" t="s">
        <v>546</v>
      </c>
      <c r="U87" s="21631"/>
      <c r="V87" s="21045"/>
      <c r="W87" s="21046"/>
      <c r="X87" s="21046"/>
      <c r="Y87" s="21046"/>
      <c r="Z87" s="21046"/>
      <c r="AA87" s="21046"/>
      <c r="AB87" s="21047"/>
      <c r="AC87" s="21045" t="s">
        <v>632</v>
      </c>
      <c r="AD87" s="21046"/>
      <c r="AE87" s="21046"/>
      <c r="AF87" s="21046"/>
      <c r="AG87" s="21046"/>
      <c r="AH87" s="21046"/>
      <c r="AI87" s="21046"/>
      <c r="AJ87" s="21045"/>
      <c r="AK87" s="21046"/>
      <c r="AL87" s="21046"/>
      <c r="AM87" s="21046"/>
      <c r="AN87" s="21046"/>
      <c r="AO87" s="21046"/>
      <c r="AP87" s="21047"/>
      <c r="AQ87" s="21045"/>
      <c r="AR87" s="21046"/>
      <c r="AS87" s="21046"/>
      <c r="AT87" s="21046"/>
      <c r="AU87" s="21046"/>
      <c r="AV87" s="21046"/>
      <c r="AW87" s="21047"/>
      <c r="AX87" s="21045"/>
      <c r="AY87" s="21046"/>
      <c r="AZ87" s="21046"/>
      <c r="BA87" s="21046"/>
      <c r="BB87" s="21046"/>
      <c r="BC87" s="21046"/>
      <c r="BD87" s="21047"/>
      <c r="BE87" s="21045"/>
      <c r="BF87" s="21046"/>
      <c r="BG87" s="21046"/>
      <c r="BH87" s="21046"/>
      <c r="BI87" s="21046"/>
      <c r="BJ87" s="21046"/>
      <c r="BK87" s="21047"/>
      <c r="BL87" s="21045"/>
      <c r="BM87" s="21046"/>
      <c r="BN87" s="21046"/>
      <c r="BO87" s="21046"/>
      <c r="BP87" s="21046"/>
      <c r="BQ87" s="21046"/>
      <c r="BR87" s="21047"/>
      <c r="BS87" s="21045"/>
      <c r="BT87" s="21046"/>
      <c r="BU87" s="21046"/>
      <c r="BV87" s="21046"/>
      <c r="BW87" s="21046"/>
      <c r="BX87" s="21046"/>
      <c r="BY87" s="21047"/>
      <c r="BZ87" s="21045"/>
      <c r="CA87" s="21046"/>
      <c r="CB87" s="21046"/>
      <c r="CC87" s="21046"/>
      <c r="CD87" s="21046"/>
      <c r="CE87" s="21046"/>
      <c r="CF87" s="21047"/>
      <c r="CG87" s="21045"/>
      <c r="CH87" s="21046"/>
      <c r="CI87" s="21046"/>
      <c r="CJ87" s="21046"/>
      <c r="CK87" s="21046"/>
      <c r="CL87" s="21046"/>
      <c r="CM87" s="21047"/>
      <c r="CN87" s="21045"/>
      <c r="CO87" s="21046"/>
      <c r="CP87" s="21046"/>
      <c r="CQ87" s="21046"/>
      <c r="CR87" s="21046"/>
      <c r="CS87" s="21046"/>
      <c r="CT87" s="21047"/>
      <c r="CU87" s="21047"/>
      <c r="CV87" s="21650" t="s">
        <v>621</v>
      </c>
      <c r="CW87" s="21281"/>
      <c r="CX87" s="21633"/>
      <c r="CY87" s="21633" t="str">
        <f>IF(T87="","",T87)</f>
        <v>Группа потребителей</v>
      </c>
      <c r="CZ87" s="21633"/>
      <c r="DA87" s="21633"/>
      <c r="DB87" s="21020">
        <v>0</v>
      </c>
    </row>
    <row s="53321" customFormat="1" customHeight="1" ht="23.25">
      <c r="A88" s="21621"/>
      <c r="B88" s="21621"/>
      <c r="C88" s="21621"/>
      <c r="D88" s="21621"/>
      <c r="E88" s="21622"/>
      <c r="F88" s="21622" t="s">
        <v>92</v>
      </c>
      <c r="G88" s="21622"/>
      <c r="H88" s="21622"/>
      <c r="I88" s="21647"/>
      <c r="J88" s="21647"/>
      <c r="K88" s="21638" t="str">
        <f>J87&amp;".1"</f>
        <v>1.4.1.1.1.1</v>
      </c>
      <c r="L88" s="21624"/>
      <c r="M88" s="21639"/>
      <c r="N88" s="21639"/>
      <c r="O88" s="21639"/>
      <c r="P88" s="21640"/>
      <c r="Q88" s="21640"/>
      <c r="R88" s="21648">
        <v>1</v>
      </c>
      <c r="S88" s="21629" t="str">
        <f>$K88</f>
        <v>1.4.1.1.1.1</v>
      </c>
      <c r="T88" s="21652"/>
      <c r="U88" s="21631"/>
      <c r="V88" s="21053"/>
      <c r="W88" s="21053"/>
      <c r="X88" s="21054"/>
      <c r="Y88" s="21055"/>
      <c r="Z88" s="21056" t="s">
        <v>63</v>
      </c>
      <c r="AA88" s="21055"/>
      <c r="AB88" s="21056" t="s">
        <v>63</v>
      </c>
      <c r="AC88" s="21053">
        <v>43.37</v>
      </c>
      <c r="AD88" s="21053"/>
      <c r="AE88" s="21054"/>
      <c r="AF88" s="21055">
        <v>45292.512395833335</v>
      </c>
      <c r="AG88" s="21056" t="s">
        <v>63</v>
      </c>
      <c r="AH88" s="21321">
        <v>45473.51273148148</v>
      </c>
      <c r="AI88" s="21056" t="s">
        <v>63</v>
      </c>
      <c r="AJ88" s="21053">
        <v>55.94</v>
      </c>
      <c r="AK88" s="21053"/>
      <c r="AL88" s="21054"/>
      <c r="AM88" s="21055">
        <v>45474.51310185185</v>
      </c>
      <c r="AN88" s="21056" t="s">
        <v>63</v>
      </c>
      <c r="AO88" s="21055">
        <v>45657.51337962963</v>
      </c>
      <c r="AP88" s="21056" t="s">
        <v>63</v>
      </c>
      <c r="AQ88" s="21053">
        <v>55.94</v>
      </c>
      <c r="AR88" s="21053"/>
      <c r="AS88" s="21054"/>
      <c r="AT88" s="21055">
        <v>45658.51372685185</v>
      </c>
      <c r="AU88" s="21056" t="s">
        <v>63</v>
      </c>
      <c r="AV88" s="21055">
        <v>45838.51409722222</v>
      </c>
      <c r="AW88" s="21056" t="s">
        <v>63</v>
      </c>
      <c r="AX88" s="21053">
        <v>64.33</v>
      </c>
      <c r="AY88" s="21053"/>
      <c r="AZ88" s="21054"/>
      <c r="BA88" s="21055">
        <v>45839.514814814815</v>
      </c>
      <c r="BB88" s="21056" t="s">
        <v>63</v>
      </c>
      <c r="BC88" s="21055">
        <v>46022.51513888889</v>
      </c>
      <c r="BD88" s="21056" t="s">
        <v>63</v>
      </c>
      <c r="BE88" s="21053">
        <v>64.33</v>
      </c>
      <c r="BF88" s="21053"/>
      <c r="BG88" s="21054"/>
      <c r="BH88" s="21055">
        <v>46023.51561342592</v>
      </c>
      <c r="BI88" s="21056" t="s">
        <v>63</v>
      </c>
      <c r="BJ88" s="21055">
        <v>46203.51590277778</v>
      </c>
      <c r="BK88" s="21056" t="s">
        <v>63</v>
      </c>
      <c r="BL88" s="21053">
        <v>65.62</v>
      </c>
      <c r="BM88" s="21053"/>
      <c r="BN88" s="21054"/>
      <c r="BO88" s="21055">
        <v>46204.51666666667</v>
      </c>
      <c r="BP88" s="21056" t="s">
        <v>63</v>
      </c>
      <c r="BQ88" s="21055">
        <v>46387.51700231482</v>
      </c>
      <c r="BR88" s="21056" t="s">
        <v>63</v>
      </c>
      <c r="BS88" s="21053">
        <v>65.62</v>
      </c>
      <c r="BT88" s="21053"/>
      <c r="BU88" s="21054"/>
      <c r="BV88" s="21055">
        <v>46388.51739583333</v>
      </c>
      <c r="BW88" s="21056" t="s">
        <v>63</v>
      </c>
      <c r="BX88" s="21055">
        <v>46568.518055555556</v>
      </c>
      <c r="BY88" s="21056" t="s">
        <v>63</v>
      </c>
      <c r="BZ88" s="21053">
        <v>66.28</v>
      </c>
      <c r="CA88" s="21053"/>
      <c r="CB88" s="21054"/>
      <c r="CC88" s="21055">
        <v>46569.51924768519</v>
      </c>
      <c r="CD88" s="21056" t="s">
        <v>63</v>
      </c>
      <c r="CE88" s="21055">
        <v>46752.51957175926</v>
      </c>
      <c r="CF88" s="21056" t="s">
        <v>63</v>
      </c>
      <c r="CG88" s="21053">
        <v>66.28</v>
      </c>
      <c r="CH88" s="21053"/>
      <c r="CI88" s="21054"/>
      <c r="CJ88" s="21055">
        <v>46753.51998842593</v>
      </c>
      <c r="CK88" s="21056" t="s">
        <v>63</v>
      </c>
      <c r="CL88" s="21055">
        <v>46934.52023148148</v>
      </c>
      <c r="CM88" s="21056" t="s">
        <v>63</v>
      </c>
      <c r="CN88" s="21053">
        <v>67.85</v>
      </c>
      <c r="CO88" s="21053"/>
      <c r="CP88" s="21054"/>
      <c r="CQ88" s="21055">
        <v>46935.520578703705</v>
      </c>
      <c r="CR88" s="21056" t="s">
        <v>63</v>
      </c>
      <c r="CS88" s="21055">
        <v>47118.52082175926</v>
      </c>
      <c r="CT88" s="21056" t="s">
        <v>63</v>
      </c>
      <c r="CU88" s="21653"/>
      <c r="CV8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88" s="21281">
        <f>STRCHECKDATE(V89:CU89)</f>
      </c>
      <c r="CX88" s="21633"/>
      <c r="CY88" s="21633" t="str">
        <f>IF(T88="","",T88)</f>
        <v/>
      </c>
      <c r="CZ88" s="21633"/>
      <c r="DA88" s="21633"/>
      <c r="DB88" s="21020">
        <v>0</v>
      </c>
    </row>
    <row s="53322" customFormat="1" customHeight="1" ht="14.25">
      <c r="A89" s="21621"/>
      <c r="B89" s="21621"/>
      <c r="C89" s="21621"/>
      <c r="D89" s="21621"/>
      <c r="E89" s="21622"/>
      <c r="F89" s="21622" t="s">
        <v>92</v>
      </c>
      <c r="G89" s="21622"/>
      <c r="H89" s="21622"/>
      <c r="I89" s="21647"/>
      <c r="J89" s="21647"/>
      <c r="K89" s="21638"/>
      <c r="L89" s="21624"/>
      <c r="M89" s="21639"/>
      <c r="N89" s="21639"/>
      <c r="O89" s="21639"/>
      <c r="P89" s="21640"/>
      <c r="Q89" s="21640"/>
      <c r="R89" s="21648"/>
      <c r="S89" s="21656"/>
      <c r="T89" s="21631"/>
      <c r="U89" s="21631"/>
      <c r="V89" s="21063"/>
      <c r="W89" s="21063"/>
      <c r="X89" s="21064" t="str">
        <f>Y88&amp;"-"&amp;AA88</f>
        <v>-</v>
      </c>
      <c r="Y89" s="21065"/>
      <c r="Z89" s="21056"/>
      <c r="AA89" s="21065"/>
      <c r="AB89" s="21056"/>
      <c r="AC89" s="21063"/>
      <c r="AD89" s="21063"/>
      <c r="AE89" s="21064" t="str">
        <f>AF88&amp;"-"&amp;AH88</f>
        <v>45292.512395833335-45473.51273148148</v>
      </c>
      <c r="AF89" s="21065"/>
      <c r="AG89" s="21056"/>
      <c r="AH89" s="21324"/>
      <c r="AI89" s="21056"/>
      <c r="AJ89" s="21063"/>
      <c r="AK89" s="21063"/>
      <c r="AL89" s="21064" t="str">
        <f>AM88&amp;"-"&amp;AO88</f>
        <v>45474.51310185185-45657.51337962963</v>
      </c>
      <c r="AM89" s="21065"/>
      <c r="AN89" s="21056"/>
      <c r="AO89" s="21065"/>
      <c r="AP89" s="21056"/>
      <c r="AQ89" s="21063"/>
      <c r="AR89" s="21063"/>
      <c r="AS89" s="21064" t="str">
        <f>AT88&amp;"-"&amp;AV88</f>
        <v>45658.51372685185-45838.51409722222</v>
      </c>
      <c r="AT89" s="21065"/>
      <c r="AU89" s="21056"/>
      <c r="AV89" s="21065"/>
      <c r="AW89" s="21056"/>
      <c r="AX89" s="21063"/>
      <c r="AY89" s="21063"/>
      <c r="AZ89" s="21064" t="str">
        <f>BA88&amp;"-"&amp;BC88</f>
        <v>45839.514814814815-46022.51513888889</v>
      </c>
      <c r="BA89" s="21065"/>
      <c r="BB89" s="21056"/>
      <c r="BC89" s="21065"/>
      <c r="BD89" s="21056"/>
      <c r="BE89" s="21063"/>
      <c r="BF89" s="21063"/>
      <c r="BG89" s="21064" t="str">
        <f>BH88&amp;"-"&amp;BJ88</f>
        <v>46023.51561342592-46203.51590277778</v>
      </c>
      <c r="BH89" s="21065"/>
      <c r="BI89" s="21056"/>
      <c r="BJ89" s="21065"/>
      <c r="BK89" s="21056"/>
      <c r="BL89" s="21063"/>
      <c r="BM89" s="21063"/>
      <c r="BN89" s="21064" t="str">
        <f>BO88&amp;"-"&amp;BQ88</f>
        <v>46204.51666666667-46387.51700231482</v>
      </c>
      <c r="BO89" s="21065"/>
      <c r="BP89" s="21056"/>
      <c r="BQ89" s="21065"/>
      <c r="BR89" s="21056"/>
      <c r="BS89" s="21063"/>
      <c r="BT89" s="21063"/>
      <c r="BU89" s="21064" t="str">
        <f>BV88&amp;"-"&amp;BX88</f>
        <v>46388.51739583333-46568.518055555556</v>
      </c>
      <c r="BV89" s="21065"/>
      <c r="BW89" s="21056"/>
      <c r="BX89" s="21065"/>
      <c r="BY89" s="21056"/>
      <c r="BZ89" s="21063"/>
      <c r="CA89" s="21063"/>
      <c r="CB89" s="21064" t="str">
        <f>CC88&amp;"-"&amp;CE88</f>
        <v>46569.51924768519-46752.51957175926</v>
      </c>
      <c r="CC89" s="21065"/>
      <c r="CD89" s="21056"/>
      <c r="CE89" s="21065"/>
      <c r="CF89" s="21056"/>
      <c r="CG89" s="21063"/>
      <c r="CH89" s="21063"/>
      <c r="CI89" s="21064" t="str">
        <f>CJ88&amp;"-"&amp;CL88</f>
        <v>46753.51998842593-46934.52023148148</v>
      </c>
      <c r="CJ89" s="21065"/>
      <c r="CK89" s="21056"/>
      <c r="CL89" s="21065"/>
      <c r="CM89" s="21056"/>
      <c r="CN89" s="21063"/>
      <c r="CO89" s="21063"/>
      <c r="CP89" s="21064" t="str">
        <f>CQ88&amp;"-"&amp;CS88</f>
        <v>46935.520578703705-47118.52082175926</v>
      </c>
      <c r="CQ89" s="21065"/>
      <c r="CR89" s="21056"/>
      <c r="CS89" s="21065"/>
      <c r="CT89" s="21056"/>
      <c r="CU89" s="21657"/>
      <c r="CV89" s="21654"/>
      <c r="CW89" s="21281"/>
      <c r="CX89" s="21633"/>
      <c r="CY89" s="21633" t="str">
        <f>IF(T89="","",T89)</f>
        <v/>
      </c>
      <c r="CZ89" s="21633"/>
      <c r="DA89" s="21633"/>
      <c r="DB89" s="21020">
        <v>0</v>
      </c>
    </row>
    <row s="53323" customFormat="1" customHeight="1" ht="21">
      <c r="A90" s="21621"/>
      <c r="B90" s="21621"/>
      <c r="C90" s="21621"/>
      <c r="D90" s="21621"/>
      <c r="E90" s="21622"/>
      <c r="F90" s="21622" t="s">
        <v>92</v>
      </c>
      <c r="G90" s="21622"/>
      <c r="H90" s="21622"/>
      <c r="I90" s="21647"/>
      <c r="J90" s="21638"/>
      <c r="K90" s="21621"/>
      <c r="L90" s="21624"/>
      <c r="M90" s="21639"/>
      <c r="N90" s="21639"/>
      <c r="O90" s="21639"/>
      <c r="P90" s="21640"/>
      <c r="Q90" s="21640"/>
      <c r="R90" s="21641"/>
      <c r="S90" s="22350"/>
      <c r="T90" s="22351" t="s">
        <v>622</v>
      </c>
      <c r="U90" s="22352"/>
      <c r="V90" s="22353"/>
      <c r="W90" s="22354"/>
      <c r="X90" s="22355"/>
      <c r="Y90" s="22356"/>
      <c r="Z90" s="22357"/>
      <c r="AA90" s="22358"/>
      <c r="AB90" s="22359"/>
      <c r="AC90" s="22360"/>
      <c r="AD90" s="22361"/>
      <c r="AE90" s="22362"/>
      <c r="AF90" s="22363"/>
      <c r="AG90" s="22364"/>
      <c r="AH90" s="22365"/>
      <c r="AI90" s="22366"/>
      <c r="AJ90" s="22367"/>
      <c r="AK90" s="22368"/>
      <c r="AL90" s="22369"/>
      <c r="AM90" s="22370"/>
      <c r="AN90" s="22371"/>
      <c r="AO90" s="22372"/>
      <c r="AP90" s="22373"/>
      <c r="AQ90" s="22374"/>
      <c r="AR90" s="22375"/>
      <c r="AS90" s="22376"/>
      <c r="AT90" s="22377"/>
      <c r="AU90" s="22378"/>
      <c r="AV90" s="22379"/>
      <c r="AW90" s="22380"/>
      <c r="AX90" s="22381"/>
      <c r="AY90" s="22382"/>
      <c r="AZ90" s="22383"/>
      <c r="BA90" s="22384"/>
      <c r="BB90" s="22385"/>
      <c r="BC90" s="22386"/>
      <c r="BD90" s="22387"/>
      <c r="BE90" s="22388"/>
      <c r="BF90" s="22389"/>
      <c r="BG90" s="22390"/>
      <c r="BH90" s="22391"/>
      <c r="BI90" s="22392"/>
      <c r="BJ90" s="22393"/>
      <c r="BK90" s="22394"/>
      <c r="BL90" s="22395"/>
      <c r="BM90" s="22396"/>
      <c r="BN90" s="22397"/>
      <c r="BO90" s="22398"/>
      <c r="BP90" s="22399"/>
      <c r="BQ90" s="22400"/>
      <c r="BR90" s="22401"/>
      <c r="BS90" s="22402"/>
      <c r="BT90" s="22403"/>
      <c r="BU90" s="22404"/>
      <c r="BV90" s="22405"/>
      <c r="BW90" s="22406"/>
      <c r="BX90" s="22407"/>
      <c r="BY90" s="22408"/>
      <c r="BZ90" s="22409"/>
      <c r="CA90" s="22410"/>
      <c r="CB90" s="22411"/>
      <c r="CC90" s="22412"/>
      <c r="CD90" s="22413"/>
      <c r="CE90" s="22414"/>
      <c r="CF90" s="22415"/>
      <c r="CG90" s="22416"/>
      <c r="CH90" s="22417"/>
      <c r="CI90" s="22418"/>
      <c r="CJ90" s="22419"/>
      <c r="CK90" s="22420"/>
      <c r="CL90" s="22421"/>
      <c r="CM90" s="22422"/>
      <c r="CN90" s="22423"/>
      <c r="CO90" s="22424"/>
      <c r="CP90" s="22425"/>
      <c r="CQ90" s="22426"/>
      <c r="CR90" s="22427"/>
      <c r="CS90" s="22428"/>
      <c r="CT90" s="22429"/>
      <c r="CU90" s="22430"/>
      <c r="CV90" s="21632" t="s">
        <v>623</v>
      </c>
      <c r="CW90" s="21281"/>
      <c r="CX90" s="21633"/>
      <c r="CY90" s="21633" t="str">
        <f>IF(T90="","",T90)</f>
        <v>Добавить значение признака дифференциации</v>
      </c>
      <c r="CZ90" s="21633"/>
      <c r="DA90" s="21633"/>
      <c r="DB90" s="21020">
        <v>0</v>
      </c>
    </row>
    <row s="53405" customFormat="1" customHeight="1" ht="23.25">
      <c r="A91" s="21621"/>
      <c r="B91" s="21621"/>
      <c r="C91" s="21621"/>
      <c r="D91" s="21621"/>
      <c r="E91" s="21622"/>
      <c r="F91" s="21622"/>
      <c r="G91" s="21622"/>
      <c r="H91" s="21622"/>
      <c r="I91" s="21647"/>
      <c r="J91" s="21638" t="str">
        <f>I86&amp;".2"</f>
        <v>1.4.1.1.2</v>
      </c>
      <c r="K91" s="21621"/>
      <c r="L91" s="21624" t="s">
        <v>545</v>
      </c>
      <c r="M91" s="21639"/>
      <c r="N91" s="21639"/>
      <c r="O91" s="21639"/>
      <c r="P91" s="21640"/>
      <c r="Q91" s="21741" t="s">
        <v>106</v>
      </c>
      <c r="R91" s="21648"/>
      <c r="S91" s="21629" t="str">
        <f>$J91</f>
        <v>1.4.1.1.2</v>
      </c>
      <c r="T91" s="21649" t="s">
        <v>546</v>
      </c>
      <c r="U91" s="21631"/>
      <c r="V91" s="21045"/>
      <c r="W91" s="21046"/>
      <c r="X91" s="21046"/>
      <c r="Y91" s="21046"/>
      <c r="Z91" s="21046"/>
      <c r="AA91" s="21046"/>
      <c r="AB91" s="21047"/>
      <c r="AC91" s="21045" t="s">
        <v>633</v>
      </c>
      <c r="AD91" s="21046"/>
      <c r="AE91" s="21046"/>
      <c r="AF91" s="21046"/>
      <c r="AG91" s="21046"/>
      <c r="AH91" s="21046"/>
      <c r="AI91" s="21046"/>
      <c r="AJ91" s="21045"/>
      <c r="AK91" s="21046"/>
      <c r="AL91" s="21046"/>
      <c r="AM91" s="21046"/>
      <c r="AN91" s="21046"/>
      <c r="AO91" s="21046"/>
      <c r="AP91" s="21047"/>
      <c r="AQ91" s="21045"/>
      <c r="AR91" s="21046"/>
      <c r="AS91" s="21046"/>
      <c r="AT91" s="21046"/>
      <c r="AU91" s="21046"/>
      <c r="AV91" s="21046"/>
      <c r="AW91" s="21047"/>
      <c r="AX91" s="21045"/>
      <c r="AY91" s="21046"/>
      <c r="AZ91" s="21046"/>
      <c r="BA91" s="21046"/>
      <c r="BB91" s="21046"/>
      <c r="BC91" s="21046"/>
      <c r="BD91" s="21047"/>
      <c r="BE91" s="21045"/>
      <c r="BF91" s="21046"/>
      <c r="BG91" s="21046"/>
      <c r="BH91" s="21046"/>
      <c r="BI91" s="21046"/>
      <c r="BJ91" s="21046"/>
      <c r="BK91" s="21047"/>
      <c r="BL91" s="21045"/>
      <c r="BM91" s="21046"/>
      <c r="BN91" s="21046"/>
      <c r="BO91" s="21046"/>
      <c r="BP91" s="21046"/>
      <c r="BQ91" s="21046"/>
      <c r="BR91" s="21047"/>
      <c r="BS91" s="21045"/>
      <c r="BT91" s="21046"/>
      <c r="BU91" s="21046"/>
      <c r="BV91" s="21046"/>
      <c r="BW91" s="21046"/>
      <c r="BX91" s="21046"/>
      <c r="BY91" s="21047"/>
      <c r="BZ91" s="21045"/>
      <c r="CA91" s="21046"/>
      <c r="CB91" s="21046"/>
      <c r="CC91" s="21046"/>
      <c r="CD91" s="21046"/>
      <c r="CE91" s="21046"/>
      <c r="CF91" s="21047"/>
      <c r="CG91" s="21045"/>
      <c r="CH91" s="21046"/>
      <c r="CI91" s="21046"/>
      <c r="CJ91" s="21046"/>
      <c r="CK91" s="21046"/>
      <c r="CL91" s="21046"/>
      <c r="CM91" s="21047"/>
      <c r="CN91" s="21045"/>
      <c r="CO91" s="21046"/>
      <c r="CP91" s="21046"/>
      <c r="CQ91" s="21046"/>
      <c r="CR91" s="21046"/>
      <c r="CS91" s="21046"/>
      <c r="CT91" s="21047"/>
      <c r="CU91" s="21047"/>
      <c r="CV91" s="21650" t="s">
        <v>621</v>
      </c>
      <c r="CW91" s="21281"/>
      <c r="CX91" s="21633"/>
      <c r="CY91" s="21633" t="str">
        <f>IF(T91="","",T91)</f>
        <v>Группа потребителей</v>
      </c>
      <c r="CZ91" s="21633"/>
      <c r="DA91" s="21633"/>
      <c r="DB91" s="21020">
        <v>0</v>
      </c>
    </row>
    <row s="53406" customFormat="1" customHeight="1" ht="23.25">
      <c r="A92" s="21621"/>
      <c r="B92" s="21621"/>
      <c r="C92" s="21621"/>
      <c r="D92" s="21621"/>
      <c r="E92" s="21622"/>
      <c r="F92" s="21622"/>
      <c r="G92" s="21622"/>
      <c r="H92" s="21622"/>
      <c r="I92" s="21647"/>
      <c r="J92" s="21647" t="str">
        <f>I86&amp;".1"</f>
        <v>1.4.1.1.1</v>
      </c>
      <c r="K92" s="21638" t="str">
        <f>J91&amp;".1"</f>
        <v>1.4.1.1.2.1</v>
      </c>
      <c r="L92" s="21624"/>
      <c r="M92" s="21639"/>
      <c r="N92" s="21639"/>
      <c r="O92" s="21639"/>
      <c r="P92" s="21640"/>
      <c r="Q92" s="21640"/>
      <c r="R92" s="21648">
        <v>1</v>
      </c>
      <c r="S92" s="21629" t="str">
        <f>$K92</f>
        <v>1.4.1.1.2.1</v>
      </c>
      <c r="T92" s="21652"/>
      <c r="U92" s="21631"/>
      <c r="V92" s="21053"/>
      <c r="W92" s="21053"/>
      <c r="X92" s="21054"/>
      <c r="Y92" s="21055"/>
      <c r="Z92" s="21056" t="s">
        <v>63</v>
      </c>
      <c r="AA92" s="21055"/>
      <c r="AB92" s="21056" t="s">
        <v>63</v>
      </c>
      <c r="AC92" s="21053">
        <v>36.14</v>
      </c>
      <c r="AD92" s="21053"/>
      <c r="AE92" s="21054"/>
      <c r="AF92" s="21055">
        <v>45292.51263888889</v>
      </c>
      <c r="AG92" s="21056" t="s">
        <v>63</v>
      </c>
      <c r="AH92" s="21321">
        <v>45473.5128125</v>
      </c>
      <c r="AI92" s="21056" t="s">
        <v>63</v>
      </c>
      <c r="AJ92" s="21053">
        <v>46.62</v>
      </c>
      <c r="AK92" s="21053"/>
      <c r="AL92" s="21054"/>
      <c r="AM92" s="21055">
        <v>45474.513287037036</v>
      </c>
      <c r="AN92" s="21056" t="s">
        <v>63</v>
      </c>
      <c r="AO92" s="21055">
        <v>45657.513449074075</v>
      </c>
      <c r="AP92" s="21056" t="s">
        <v>63</v>
      </c>
      <c r="AQ92" s="21053">
        <v>46.62</v>
      </c>
      <c r="AR92" s="21053"/>
      <c r="AS92" s="21054"/>
      <c r="AT92" s="21055">
        <v>45658.513877314814</v>
      </c>
      <c r="AU92" s="21056" t="s">
        <v>63</v>
      </c>
      <c r="AV92" s="21055">
        <v>45838.51424768518</v>
      </c>
      <c r="AW92" s="21056" t="s">
        <v>63</v>
      </c>
      <c r="AX92" s="21053">
        <v>53.61</v>
      </c>
      <c r="AY92" s="21053"/>
      <c r="AZ92" s="21054"/>
      <c r="BA92" s="21055">
        <v>45839.51498842592</v>
      </c>
      <c r="BB92" s="21056" t="s">
        <v>63</v>
      </c>
      <c r="BC92" s="21055">
        <v>46022.51520833333</v>
      </c>
      <c r="BD92" s="21056" t="s">
        <v>63</v>
      </c>
      <c r="BE92" s="21053">
        <v>53.61</v>
      </c>
      <c r="BF92" s="21053"/>
      <c r="BG92" s="21054"/>
      <c r="BH92" s="21055">
        <v>46023.51574074074</v>
      </c>
      <c r="BI92" s="21056" t="s">
        <v>63</v>
      </c>
      <c r="BJ92" s="21055">
        <v>46203.51605324074</v>
      </c>
      <c r="BK92" s="21056" t="s">
        <v>63</v>
      </c>
      <c r="BL92" s="21053">
        <v>54.68</v>
      </c>
      <c r="BM92" s="21053"/>
      <c r="BN92" s="21054"/>
      <c r="BO92" s="21055">
        <v>46204.51678240741</v>
      </c>
      <c r="BP92" s="21056" t="s">
        <v>63</v>
      </c>
      <c r="BQ92" s="21055">
        <v>46387.51708333333</v>
      </c>
      <c r="BR92" s="21056" t="s">
        <v>63</v>
      </c>
      <c r="BS92" s="21053">
        <v>54.68</v>
      </c>
      <c r="BT92" s="21053"/>
      <c r="BU92" s="21054"/>
      <c r="BV92" s="21055">
        <v>46388.51758101852</v>
      </c>
      <c r="BW92" s="21056" t="s">
        <v>63</v>
      </c>
      <c r="BX92" s="21055">
        <v>46568.518171296295</v>
      </c>
      <c r="BY92" s="21056" t="s">
        <v>63</v>
      </c>
      <c r="BZ92" s="21053">
        <v>55.23</v>
      </c>
      <c r="CA92" s="21053"/>
      <c r="CB92" s="21054"/>
      <c r="CC92" s="21055">
        <v>46569.519375</v>
      </c>
      <c r="CD92" s="21056" t="s">
        <v>63</v>
      </c>
      <c r="CE92" s="21055">
        <v>46752.51972222222</v>
      </c>
      <c r="CF92" s="21056" t="s">
        <v>63</v>
      </c>
      <c r="CG92" s="21053">
        <v>55.23</v>
      </c>
      <c r="CH92" s="21053"/>
      <c r="CI92" s="21054"/>
      <c r="CJ92" s="21055">
        <v>46753.520104166666</v>
      </c>
      <c r="CK92" s="21056" t="s">
        <v>63</v>
      </c>
      <c r="CL92" s="21055">
        <v>46934.52033564815</v>
      </c>
      <c r="CM92" s="21056" t="s">
        <v>63</v>
      </c>
      <c r="CN92" s="21053">
        <v>56.54</v>
      </c>
      <c r="CO92" s="21053"/>
      <c r="CP92" s="21054"/>
      <c r="CQ92" s="21055">
        <v>46935.52072916667</v>
      </c>
      <c r="CR92" s="21056" t="s">
        <v>63</v>
      </c>
      <c r="CS92" s="21055">
        <v>47118.520902777775</v>
      </c>
      <c r="CT92" s="21056" t="s">
        <v>63</v>
      </c>
      <c r="CU92" s="21653"/>
      <c r="CV92"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92" s="21281">
        <f>STRCHECKDATE(V93:CU93)</f>
      </c>
      <c r="CX92" s="21633"/>
      <c r="CY92" s="21633" t="str">
        <f>IF(T92="","",T92)</f>
        <v/>
      </c>
      <c r="CZ92" s="21633"/>
      <c r="DA92" s="21633"/>
      <c r="DB92" s="21020">
        <v>0</v>
      </c>
    </row>
    <row s="53407" customFormat="1" customHeight="1" ht="14.25">
      <c r="A93" s="21621"/>
      <c r="B93" s="21621"/>
      <c r="C93" s="21621"/>
      <c r="D93" s="21621"/>
      <c r="E93" s="21622"/>
      <c r="F93" s="21622"/>
      <c r="G93" s="21622"/>
      <c r="H93" s="21622"/>
      <c r="I93" s="21647"/>
      <c r="J93" s="21647" t="str">
        <f>I86&amp;".1"</f>
        <v>1.4.1.1.1</v>
      </c>
      <c r="K93" s="21638"/>
      <c r="L93" s="21624"/>
      <c r="M93" s="21639"/>
      <c r="N93" s="21639"/>
      <c r="O93" s="21639"/>
      <c r="P93" s="21640"/>
      <c r="Q93" s="21640"/>
      <c r="R93" s="21648"/>
      <c r="S93" s="21656"/>
      <c r="T93" s="21631"/>
      <c r="U93" s="21631"/>
      <c r="V93" s="21063"/>
      <c r="W93" s="21063"/>
      <c r="X93" s="21064" t="str">
        <f>Y92&amp;"-"&amp;AA92</f>
        <v>-</v>
      </c>
      <c r="Y93" s="21065"/>
      <c r="Z93" s="21056"/>
      <c r="AA93" s="21065"/>
      <c r="AB93" s="21056"/>
      <c r="AC93" s="21063"/>
      <c r="AD93" s="21063"/>
      <c r="AE93" s="21064" t="str">
        <f>AF92&amp;"-"&amp;AH92</f>
        <v>45292.51263888889-45473.5128125</v>
      </c>
      <c r="AF93" s="21065"/>
      <c r="AG93" s="21056"/>
      <c r="AH93" s="21324"/>
      <c r="AI93" s="21056"/>
      <c r="AJ93" s="21063"/>
      <c r="AK93" s="21063"/>
      <c r="AL93" s="21064" t="str">
        <f>AM92&amp;"-"&amp;AO92</f>
        <v>45474.513287037036-45657.513449074075</v>
      </c>
      <c r="AM93" s="21065"/>
      <c r="AN93" s="21056"/>
      <c r="AO93" s="21065"/>
      <c r="AP93" s="21056"/>
      <c r="AQ93" s="21063"/>
      <c r="AR93" s="21063"/>
      <c r="AS93" s="21064" t="str">
        <f>AT92&amp;"-"&amp;AV92</f>
        <v>45658.513877314814-45838.51424768518</v>
      </c>
      <c r="AT93" s="21065"/>
      <c r="AU93" s="21056"/>
      <c r="AV93" s="21065"/>
      <c r="AW93" s="21056"/>
      <c r="AX93" s="21063"/>
      <c r="AY93" s="21063"/>
      <c r="AZ93" s="21064" t="str">
        <f>BA92&amp;"-"&amp;BC92</f>
        <v>45839.51498842592-46022.51520833333</v>
      </c>
      <c r="BA93" s="21065"/>
      <c r="BB93" s="21056"/>
      <c r="BC93" s="21065"/>
      <c r="BD93" s="21056"/>
      <c r="BE93" s="21063"/>
      <c r="BF93" s="21063"/>
      <c r="BG93" s="21064" t="str">
        <f>BH92&amp;"-"&amp;BJ92</f>
        <v>46023.51574074074-46203.51605324074</v>
      </c>
      <c r="BH93" s="21065"/>
      <c r="BI93" s="21056"/>
      <c r="BJ93" s="21065"/>
      <c r="BK93" s="21056"/>
      <c r="BL93" s="21063"/>
      <c r="BM93" s="21063"/>
      <c r="BN93" s="21064" t="str">
        <f>BO92&amp;"-"&amp;BQ92</f>
        <v>46204.51678240741-46387.51708333333</v>
      </c>
      <c r="BO93" s="21065"/>
      <c r="BP93" s="21056"/>
      <c r="BQ93" s="21065"/>
      <c r="BR93" s="21056"/>
      <c r="BS93" s="21063"/>
      <c r="BT93" s="21063"/>
      <c r="BU93" s="21064" t="str">
        <f>BV92&amp;"-"&amp;BX92</f>
        <v>46388.51758101852-46568.518171296295</v>
      </c>
      <c r="BV93" s="21065"/>
      <c r="BW93" s="21056"/>
      <c r="BX93" s="21065"/>
      <c r="BY93" s="21056"/>
      <c r="BZ93" s="21063"/>
      <c r="CA93" s="21063"/>
      <c r="CB93" s="21064" t="str">
        <f>CC92&amp;"-"&amp;CE92</f>
        <v>46569.519375-46752.51972222222</v>
      </c>
      <c r="CC93" s="21065"/>
      <c r="CD93" s="21056"/>
      <c r="CE93" s="21065"/>
      <c r="CF93" s="21056"/>
      <c r="CG93" s="21063"/>
      <c r="CH93" s="21063"/>
      <c r="CI93" s="21064" t="str">
        <f>CJ92&amp;"-"&amp;CL92</f>
        <v>46753.520104166666-46934.52033564815</v>
      </c>
      <c r="CJ93" s="21065"/>
      <c r="CK93" s="21056"/>
      <c r="CL93" s="21065"/>
      <c r="CM93" s="21056"/>
      <c r="CN93" s="21063"/>
      <c r="CO93" s="21063"/>
      <c r="CP93" s="21064" t="str">
        <f>CQ92&amp;"-"&amp;CS92</f>
        <v>46935.52072916667-47118.520902777775</v>
      </c>
      <c r="CQ93" s="21065"/>
      <c r="CR93" s="21056"/>
      <c r="CS93" s="21065"/>
      <c r="CT93" s="21056"/>
      <c r="CU93" s="21657"/>
      <c r="CV93" s="21654"/>
      <c r="CW93" s="21281"/>
      <c r="CX93" s="21633"/>
      <c r="CY93" s="21633" t="str">
        <f>IF(T93="","",T93)</f>
        <v/>
      </c>
      <c r="CZ93" s="21633"/>
      <c r="DA93" s="21633"/>
      <c r="DB93" s="21020">
        <v>0</v>
      </c>
    </row>
    <row s="53408" customFormat="1" customHeight="1" ht="21">
      <c r="A94" s="21621"/>
      <c r="B94" s="21621"/>
      <c r="C94" s="21621"/>
      <c r="D94" s="21621"/>
      <c r="E94" s="21622"/>
      <c r="F94" s="21622"/>
      <c r="G94" s="21622"/>
      <c r="H94" s="21622"/>
      <c r="I94" s="21647"/>
      <c r="J94" s="21638" t="str">
        <f>I86&amp;".1"</f>
        <v>1.4.1.1.1</v>
      </c>
      <c r="K94" s="21621"/>
      <c r="L94" s="21624"/>
      <c r="M94" s="21639"/>
      <c r="N94" s="21639"/>
      <c r="O94" s="21639"/>
      <c r="P94" s="21640"/>
      <c r="Q94" s="21640"/>
      <c r="R94" s="21641"/>
      <c r="S94" s="22435"/>
      <c r="T94" s="22436" t="s">
        <v>622</v>
      </c>
      <c r="U94" s="22437"/>
      <c r="V94" s="22438"/>
      <c r="W94" s="22439"/>
      <c r="X94" s="22440"/>
      <c r="Y94" s="22441"/>
      <c r="Z94" s="22442"/>
      <c r="AA94" s="22443"/>
      <c r="AB94" s="22444"/>
      <c r="AC94" s="22445"/>
      <c r="AD94" s="22446"/>
      <c r="AE94" s="22447"/>
      <c r="AF94" s="22448"/>
      <c r="AG94" s="22449"/>
      <c r="AH94" s="22450"/>
      <c r="AI94" s="22451"/>
      <c r="AJ94" s="22452"/>
      <c r="AK94" s="22453"/>
      <c r="AL94" s="22454"/>
      <c r="AM94" s="22455"/>
      <c r="AN94" s="22456"/>
      <c r="AO94" s="22457"/>
      <c r="AP94" s="22458"/>
      <c r="AQ94" s="22459"/>
      <c r="AR94" s="22460"/>
      <c r="AS94" s="22461"/>
      <c r="AT94" s="22462"/>
      <c r="AU94" s="22463"/>
      <c r="AV94" s="22464"/>
      <c r="AW94" s="22465"/>
      <c r="AX94" s="22466"/>
      <c r="AY94" s="22467"/>
      <c r="AZ94" s="22468"/>
      <c r="BA94" s="22469"/>
      <c r="BB94" s="22470"/>
      <c r="BC94" s="22471"/>
      <c r="BD94" s="22472"/>
      <c r="BE94" s="22473"/>
      <c r="BF94" s="22474"/>
      <c r="BG94" s="22475"/>
      <c r="BH94" s="22476"/>
      <c r="BI94" s="22477"/>
      <c r="BJ94" s="22478"/>
      <c r="BK94" s="22479"/>
      <c r="BL94" s="22480"/>
      <c r="BM94" s="22481"/>
      <c r="BN94" s="22482"/>
      <c r="BO94" s="22483"/>
      <c r="BP94" s="22484"/>
      <c r="BQ94" s="22485"/>
      <c r="BR94" s="22486"/>
      <c r="BS94" s="22487"/>
      <c r="BT94" s="22488"/>
      <c r="BU94" s="22489"/>
      <c r="BV94" s="22490"/>
      <c r="BW94" s="22491"/>
      <c r="BX94" s="22492"/>
      <c r="BY94" s="22493"/>
      <c r="BZ94" s="22494"/>
      <c r="CA94" s="22495"/>
      <c r="CB94" s="22496"/>
      <c r="CC94" s="22497"/>
      <c r="CD94" s="22498"/>
      <c r="CE94" s="22499"/>
      <c r="CF94" s="22500"/>
      <c r="CG94" s="22501"/>
      <c r="CH94" s="22502"/>
      <c r="CI94" s="22503"/>
      <c r="CJ94" s="22504"/>
      <c r="CK94" s="22505"/>
      <c r="CL94" s="22506"/>
      <c r="CM94" s="22507"/>
      <c r="CN94" s="22508"/>
      <c r="CO94" s="22509"/>
      <c r="CP94" s="22510"/>
      <c r="CQ94" s="22511"/>
      <c r="CR94" s="22512"/>
      <c r="CS94" s="22513"/>
      <c r="CT94" s="22514"/>
      <c r="CU94" s="22515"/>
      <c r="CV94" s="21632" t="s">
        <v>623</v>
      </c>
      <c r="CW94" s="21281"/>
      <c r="CX94" s="21633"/>
      <c r="CY94" s="21633" t="str">
        <f>IF(T94="","",T94)</f>
        <v>Добавить значение признака дифференциации</v>
      </c>
      <c r="CZ94" s="21633"/>
      <c r="DA94" s="21633"/>
      <c r="DB94" s="21020">
        <v>0</v>
      </c>
    </row>
    <row s="53490" customFormat="1" customHeight="1" ht="21">
      <c r="A95" s="21621"/>
      <c r="B95" s="21621"/>
      <c r="C95" s="21621"/>
      <c r="D95" s="21621"/>
      <c r="E95" s="21622"/>
      <c r="F95" s="21622" t="s">
        <v>92</v>
      </c>
      <c r="G95" s="21622"/>
      <c r="H95" s="21622"/>
      <c r="I95" s="21638"/>
      <c r="J95" s="21621"/>
      <c r="K95" s="21621"/>
      <c r="L95" s="21624"/>
      <c r="M95" s="21639"/>
      <c r="N95" s="21639"/>
      <c r="O95" s="21639"/>
      <c r="P95" s="21640"/>
      <c r="Q95" s="21640"/>
      <c r="R95" s="21641"/>
      <c r="S95" s="22517"/>
      <c r="T95" s="22518" t="s">
        <v>551</v>
      </c>
      <c r="U95" s="22519"/>
      <c r="V95" s="22520"/>
      <c r="W95" s="22521"/>
      <c r="X95" s="22522"/>
      <c r="Y95" s="22523"/>
      <c r="Z95" s="22524"/>
      <c r="AA95" s="22525"/>
      <c r="AB95" s="22526"/>
      <c r="AC95" s="22527"/>
      <c r="AD95" s="22528"/>
      <c r="AE95" s="22529"/>
      <c r="AF95" s="22530"/>
      <c r="AG95" s="22531"/>
      <c r="AH95" s="22532"/>
      <c r="AI95" s="22533"/>
      <c r="AJ95" s="22534"/>
      <c r="AK95" s="22535"/>
      <c r="AL95" s="22536"/>
      <c r="AM95" s="22537"/>
      <c r="AN95" s="22538"/>
      <c r="AO95" s="22539"/>
      <c r="AP95" s="22540"/>
      <c r="AQ95" s="22541"/>
      <c r="AR95" s="22542"/>
      <c r="AS95" s="22543"/>
      <c r="AT95" s="22544"/>
      <c r="AU95" s="22545"/>
      <c r="AV95" s="22546"/>
      <c r="AW95" s="22547"/>
      <c r="AX95" s="22548"/>
      <c r="AY95" s="22549"/>
      <c r="AZ95" s="22550"/>
      <c r="BA95" s="22551"/>
      <c r="BB95" s="22552"/>
      <c r="BC95" s="22553"/>
      <c r="BD95" s="22554"/>
      <c r="BE95" s="22555"/>
      <c r="BF95" s="22556"/>
      <c r="BG95" s="22557"/>
      <c r="BH95" s="22558"/>
      <c r="BI95" s="22559"/>
      <c r="BJ95" s="22560"/>
      <c r="BK95" s="22561"/>
      <c r="BL95" s="22562"/>
      <c r="BM95" s="22563"/>
      <c r="BN95" s="22564"/>
      <c r="BO95" s="22565"/>
      <c r="BP95" s="22566"/>
      <c r="BQ95" s="22567"/>
      <c r="BR95" s="22568"/>
      <c r="BS95" s="22569"/>
      <c r="BT95" s="22570"/>
      <c r="BU95" s="22571"/>
      <c r="BV95" s="22572"/>
      <c r="BW95" s="22573"/>
      <c r="BX95" s="22574"/>
      <c r="BY95" s="22575"/>
      <c r="BZ95" s="22576"/>
      <c r="CA95" s="22577"/>
      <c r="CB95" s="22578"/>
      <c r="CC95" s="22579"/>
      <c r="CD95" s="22580"/>
      <c r="CE95" s="22581"/>
      <c r="CF95" s="22582"/>
      <c r="CG95" s="22583"/>
      <c r="CH95" s="22584"/>
      <c r="CI95" s="22585"/>
      <c r="CJ95" s="22586"/>
      <c r="CK95" s="22587"/>
      <c r="CL95" s="22588"/>
      <c r="CM95" s="22589"/>
      <c r="CN95" s="22590"/>
      <c r="CO95" s="22591"/>
      <c r="CP95" s="22592"/>
      <c r="CQ95" s="22593"/>
      <c r="CR95" s="22594"/>
      <c r="CS95" s="22595"/>
      <c r="CT95" s="22596"/>
      <c r="CU95" s="22597"/>
      <c r="CV95" s="22598"/>
      <c r="CW95" s="21281"/>
      <c r="CX95" s="21633"/>
      <c r="CY95" s="21633" t="str">
        <f>IF(T95="","",T95)</f>
        <v>Добавить группу потребителей</v>
      </c>
      <c r="CZ95" s="21633"/>
      <c r="DA95" s="21633"/>
      <c r="DB95" s="21020">
        <v>0</v>
      </c>
    </row>
    <row s="53573" customFormat="1" customHeight="1" ht="14.25">
      <c r="A96" s="21621"/>
      <c r="B96" s="21621"/>
      <c r="C96" s="21621"/>
      <c r="D96" s="21621"/>
      <c r="E96" s="21622"/>
      <c r="F96" s="21622" t="s">
        <v>92</v>
      </c>
      <c r="G96" s="21622"/>
      <c r="H96" s="21623"/>
      <c r="I96" s="21621"/>
      <c r="J96" s="21621"/>
      <c r="K96" s="21621"/>
      <c r="L96" s="21624"/>
      <c r="M96" s="21625"/>
      <c r="N96" s="21625"/>
      <c r="O96" s="21264"/>
      <c r="P96" s="21910"/>
      <c r="Q96" s="21911"/>
      <c r="R96" s="21912"/>
      <c r="S96" s="22600"/>
      <c r="T96" s="22601" t="s">
        <v>624</v>
      </c>
      <c r="U96" s="22602"/>
      <c r="V96" s="22603"/>
      <c r="W96" s="22604"/>
      <c r="X96" s="22605"/>
      <c r="Y96" s="22606"/>
      <c r="Z96" s="22607"/>
      <c r="AA96" s="22608"/>
      <c r="AB96" s="22609"/>
      <c r="AC96" s="22610"/>
      <c r="AD96" s="22611"/>
      <c r="AE96" s="22612"/>
      <c r="AF96" s="22613"/>
      <c r="AG96" s="22614"/>
      <c r="AH96" s="22615"/>
      <c r="AI96" s="22616"/>
      <c r="AJ96" s="22617"/>
      <c r="AK96" s="22618"/>
      <c r="AL96" s="22619"/>
      <c r="AM96" s="22620"/>
      <c r="AN96" s="22621"/>
      <c r="AO96" s="22622"/>
      <c r="AP96" s="22623"/>
      <c r="AQ96" s="22624"/>
      <c r="AR96" s="22625"/>
      <c r="AS96" s="22626"/>
      <c r="AT96" s="22627"/>
      <c r="AU96" s="22628"/>
      <c r="AV96" s="22629"/>
      <c r="AW96" s="22630"/>
      <c r="AX96" s="22631"/>
      <c r="AY96" s="22632"/>
      <c r="AZ96" s="22633"/>
      <c r="BA96" s="22634"/>
      <c r="BB96" s="22635"/>
      <c r="BC96" s="22636"/>
      <c r="BD96" s="22637"/>
      <c r="BE96" s="22638"/>
      <c r="BF96" s="22639"/>
      <c r="BG96" s="22640"/>
      <c r="BH96" s="22641"/>
      <c r="BI96" s="22642"/>
      <c r="BJ96" s="22643"/>
      <c r="BK96" s="22644"/>
      <c r="BL96" s="22645"/>
      <c r="BM96" s="22646"/>
      <c r="BN96" s="22647"/>
      <c r="BO96" s="22648"/>
      <c r="BP96" s="22649"/>
      <c r="BQ96" s="22650"/>
      <c r="BR96" s="22651"/>
      <c r="BS96" s="22652"/>
      <c r="BT96" s="22653"/>
      <c r="BU96" s="22654"/>
      <c r="BV96" s="22655"/>
      <c r="BW96" s="22656"/>
      <c r="BX96" s="22657"/>
      <c r="BY96" s="22658"/>
      <c r="BZ96" s="22659"/>
      <c r="CA96" s="22660"/>
      <c r="CB96" s="22661"/>
      <c r="CC96" s="22662"/>
      <c r="CD96" s="22663"/>
      <c r="CE96" s="22664"/>
      <c r="CF96" s="22665"/>
      <c r="CG96" s="22666"/>
      <c r="CH96" s="22667"/>
      <c r="CI96" s="22668"/>
      <c r="CJ96" s="22669"/>
      <c r="CK96" s="22670"/>
      <c r="CL96" s="22671"/>
      <c r="CM96" s="22672"/>
      <c r="CN96" s="22673"/>
      <c r="CO96" s="22674"/>
      <c r="CP96" s="22675"/>
      <c r="CQ96" s="22676"/>
      <c r="CR96" s="22677"/>
      <c r="CS96" s="22678"/>
      <c r="CT96" s="22679"/>
      <c r="CU96" s="22680"/>
      <c r="CV96" s="22681"/>
      <c r="CW96" s="21281"/>
      <c r="CX96" s="21633"/>
      <c r="CY96" s="21633" t="str">
        <f>IF(T96="","",T96)</f>
        <v>Добавить наименование признака дифференциации</v>
      </c>
      <c r="CZ96" s="21633"/>
      <c r="DA96" s="21633"/>
      <c r="DB96" s="21020">
        <v>0</v>
      </c>
    </row>
    <row s="53656" customFormat="1" customHeight="1" ht="14.25">
      <c r="A97" s="21996"/>
      <c r="B97" s="21996"/>
      <c r="C97" s="21996"/>
      <c r="D97" s="21996"/>
      <c r="E97" s="21622"/>
      <c r="F97" s="21623" t="s">
        <v>92</v>
      </c>
      <c r="G97" s="21996"/>
      <c r="H97" s="21996"/>
      <c r="I97" s="21996"/>
      <c r="J97" s="21996"/>
      <c r="K97" s="21996"/>
      <c r="L97" s="21997"/>
      <c r="M97" s="21998"/>
      <c r="N97" s="21998"/>
      <c r="O97" s="21281"/>
      <c r="P97" s="21999"/>
      <c r="Q97" s="22000"/>
      <c r="R97" s="21999"/>
      <c r="S97" s="22001"/>
      <c r="T97" s="22002" t="s">
        <v>290</v>
      </c>
      <c r="U97" s="21260"/>
      <c r="V97" s="21260"/>
      <c r="W97" s="21260"/>
      <c r="X97" s="21260"/>
      <c r="Y97" s="21260"/>
      <c r="Z97" s="21260"/>
      <c r="AA97" s="21260"/>
      <c r="AB97" s="21260"/>
      <c r="AC97" s="21260"/>
      <c r="AD97" s="21260"/>
      <c r="AE97" s="21260"/>
      <c r="AF97" s="21260"/>
      <c r="AG97" s="21260"/>
      <c r="AH97" s="21260"/>
      <c r="AI97" s="21260"/>
      <c r="AJ97" s="21260"/>
      <c r="AK97" s="21260"/>
      <c r="AL97" s="21260"/>
      <c r="AM97" s="21260"/>
      <c r="AN97" s="21260"/>
      <c r="AO97" s="21260"/>
      <c r="AP97" s="21260"/>
      <c r="AQ97" s="21260"/>
      <c r="AR97" s="21260"/>
      <c r="AS97" s="21260"/>
      <c r="AT97" s="21260"/>
      <c r="AU97" s="21260"/>
      <c r="AV97" s="21260"/>
      <c r="AW97" s="21260"/>
      <c r="AX97" s="21260"/>
      <c r="AY97" s="21260"/>
      <c r="AZ97" s="21260"/>
      <c r="BA97" s="21260"/>
      <c r="BB97" s="21260"/>
      <c r="BC97" s="21260"/>
      <c r="BD97" s="21260"/>
      <c r="BE97" s="21260"/>
      <c r="BF97" s="21260"/>
      <c r="BG97" s="21260"/>
      <c r="BH97" s="21260"/>
      <c r="BI97" s="21260"/>
      <c r="BJ97" s="21260"/>
      <c r="BK97" s="21260"/>
      <c r="BL97" s="21260"/>
      <c r="BM97" s="21260"/>
      <c r="BN97" s="21260"/>
      <c r="BO97" s="21260"/>
      <c r="BP97" s="21260"/>
      <c r="BQ97" s="21260"/>
      <c r="BR97" s="21260"/>
      <c r="BS97" s="21260"/>
      <c r="BT97" s="21260"/>
      <c r="BU97" s="21260"/>
      <c r="BV97" s="21260"/>
      <c r="BW97" s="21260"/>
      <c r="BX97" s="21260"/>
      <c r="BY97" s="21260"/>
      <c r="BZ97" s="21260"/>
      <c r="CA97" s="21260"/>
      <c r="CB97" s="21260"/>
      <c r="CC97" s="21260"/>
      <c r="CD97" s="21260"/>
      <c r="CE97" s="21260"/>
      <c r="CF97" s="21260"/>
      <c r="CG97" s="21260"/>
      <c r="CH97" s="21260"/>
      <c r="CI97" s="21260"/>
      <c r="CJ97" s="21260"/>
      <c r="CK97" s="21260"/>
      <c r="CL97" s="21260"/>
      <c r="CM97" s="21260"/>
      <c r="CN97" s="21260"/>
      <c r="CO97" s="21260"/>
      <c r="CP97" s="21260"/>
      <c r="CQ97" s="21260"/>
      <c r="CR97" s="21260"/>
      <c r="CS97" s="21260"/>
      <c r="CT97" s="21260"/>
      <c r="CU97" s="21260"/>
      <c r="CV97" s="21260"/>
      <c r="CW97" s="21281"/>
      <c r="CX97" s="21633"/>
      <c r="CY97" s="21633" t="str">
        <f>IF(T97="","",T97)</f>
        <v>Добавить централизованную систему для дифференциации</v>
      </c>
      <c r="CZ97" s="21633"/>
      <c r="DA97" s="21633"/>
      <c r="DB97" s="21281">
        <v>0</v>
      </c>
    </row>
    <row s="53657" customFormat="1" customHeight="1" ht="23.25">
      <c r="A98" s="21621"/>
      <c r="B98" s="21621" t="s">
        <v>304</v>
      </c>
      <c r="C98" s="21621"/>
      <c r="D98" s="21621"/>
      <c r="E98" s="21622"/>
      <c r="F98" s="21623" t="s">
        <v>121</v>
      </c>
      <c r="G98" s="21621"/>
      <c r="H98" s="21621"/>
      <c r="I98" s="21621"/>
      <c r="J98" s="21621"/>
      <c r="K98" s="21621"/>
      <c r="L98" s="21624"/>
      <c r="M98" s="21625"/>
      <c r="N98" s="21625"/>
      <c r="O98" s="21625"/>
      <c r="P98" s="21626"/>
      <c r="Q98" s="21627"/>
      <c r="R98" s="21628"/>
      <c r="S98" s="21629" t="str">
        <f>INDEX(PT_DIFFERENTIATION_NUM_TER,MATCH(B98,PT_DIFFERENTIATION_TER_ID,0))</f>
        <v>1.5</v>
      </c>
      <c r="T98" s="21630" t="s">
        <v>536</v>
      </c>
      <c r="U98" s="21631"/>
      <c r="V98" s="21025"/>
      <c r="W98" s="21026"/>
      <c r="X98" s="21026"/>
      <c r="Y98" s="21026"/>
      <c r="Z98" s="21026"/>
      <c r="AA98" s="21026"/>
      <c r="AB98" s="21027"/>
      <c r="AC98" s="21025" t="str">
        <f>INDEX(PT_DIFFERENTIATION_TER,MATCH(B98,PT_DIFFERENTIATION_TER_ID,0))</f>
        <v>Территория 5</v>
      </c>
      <c r="AD98" s="21026"/>
      <c r="AE98" s="21026"/>
      <c r="AF98" s="21026"/>
      <c r="AG98" s="21026"/>
      <c r="AH98" s="21026"/>
      <c r="AI98" s="21026"/>
      <c r="AJ98" s="21025"/>
      <c r="AK98" s="21026"/>
      <c r="AL98" s="21026"/>
      <c r="AM98" s="21026"/>
      <c r="AN98" s="21026"/>
      <c r="AO98" s="21026"/>
      <c r="AP98" s="21027"/>
      <c r="AQ98" s="21025"/>
      <c r="AR98" s="21026"/>
      <c r="AS98" s="21026"/>
      <c r="AT98" s="21026"/>
      <c r="AU98" s="21026"/>
      <c r="AV98" s="21026"/>
      <c r="AW98" s="21027"/>
      <c r="AX98" s="21025"/>
      <c r="AY98" s="21026"/>
      <c r="AZ98" s="21026"/>
      <c r="BA98" s="21026"/>
      <c r="BB98" s="21026"/>
      <c r="BC98" s="21026"/>
      <c r="BD98" s="21027"/>
      <c r="BE98" s="21025"/>
      <c r="BF98" s="21026"/>
      <c r="BG98" s="21026"/>
      <c r="BH98" s="21026"/>
      <c r="BI98" s="21026"/>
      <c r="BJ98" s="21026"/>
      <c r="BK98" s="21027"/>
      <c r="BL98" s="21025"/>
      <c r="BM98" s="21026"/>
      <c r="BN98" s="21026"/>
      <c r="BO98" s="21026"/>
      <c r="BP98" s="21026"/>
      <c r="BQ98" s="21026"/>
      <c r="BR98" s="21027"/>
      <c r="BS98" s="21025"/>
      <c r="BT98" s="21026"/>
      <c r="BU98" s="21026"/>
      <c r="BV98" s="21026"/>
      <c r="BW98" s="21026"/>
      <c r="BX98" s="21026"/>
      <c r="BY98" s="21027"/>
      <c r="BZ98" s="21025"/>
      <c r="CA98" s="21026"/>
      <c r="CB98" s="21026"/>
      <c r="CC98" s="21026"/>
      <c r="CD98" s="21026"/>
      <c r="CE98" s="21026"/>
      <c r="CF98" s="21027"/>
      <c r="CG98" s="21025"/>
      <c r="CH98" s="21026"/>
      <c r="CI98" s="21026"/>
      <c r="CJ98" s="21026"/>
      <c r="CK98" s="21026"/>
      <c r="CL98" s="21026"/>
      <c r="CM98" s="21027"/>
      <c r="CN98" s="21025"/>
      <c r="CO98" s="21026"/>
      <c r="CP98" s="21026"/>
      <c r="CQ98" s="21026"/>
      <c r="CR98" s="21026"/>
      <c r="CS98" s="21026"/>
      <c r="CT98" s="21027"/>
      <c r="CU98" s="21027"/>
      <c r="CV98" s="21632" t="s">
        <v>537</v>
      </c>
      <c r="CW98" s="21281"/>
      <c r="CX98" s="21633"/>
      <c r="CY98" s="21633" t="str">
        <f>IF(T98="","",T98)</f>
        <v>Территория действия тарифа</v>
      </c>
      <c r="CZ98" s="21633"/>
      <c r="DA98" s="21633"/>
      <c r="DB98" s="21020">
        <v>0</v>
      </c>
    </row>
    <row s="53658" customFormat="1" customHeight="1" ht="23.25">
      <c r="A99" s="21621"/>
      <c r="B99" s="21621"/>
      <c r="C99" s="21621" t="s">
        <v>305</v>
      </c>
      <c r="D99" s="21621"/>
      <c r="E99" s="21622"/>
      <c r="F99" s="21622" t="s">
        <v>93</v>
      </c>
      <c r="G99" s="21623">
        <v>1</v>
      </c>
      <c r="H99" s="21621"/>
      <c r="I99" s="21621"/>
      <c r="J99" s="21621"/>
      <c r="K99" s="21621"/>
      <c r="L99" s="21624"/>
      <c r="M99" s="21625"/>
      <c r="N99" s="21625"/>
      <c r="O99" s="21625"/>
      <c r="P99" s="21635"/>
      <c r="Q99" s="21627"/>
      <c r="R99" s="21628"/>
      <c r="S99" s="21629" t="str">
        <f>INDEX(PT_DIFFERENTIATION_NUM_CS,MATCH(C99,PT_DIFFERENTIATION_CS_ID,0))</f>
        <v>1.5.1</v>
      </c>
      <c r="T99" s="21636" t="s">
        <v>617</v>
      </c>
      <c r="U99" s="21631"/>
      <c r="V99" s="21025"/>
      <c r="W99" s="21026"/>
      <c r="X99" s="21026"/>
      <c r="Y99" s="21026"/>
      <c r="Z99" s="21026"/>
      <c r="AA99" s="21026"/>
      <c r="AB99" s="21027"/>
      <c r="AC99" s="21025" t="str">
        <f>INDEX(PT_DIFFERENTIATION_CS,MATCH(C99,PT_DIFFERENTIATION_CS_ID,0))</f>
        <v>с. Барабаш, с. Занадворовка</v>
      </c>
      <c r="AD99" s="21026"/>
      <c r="AE99" s="21026"/>
      <c r="AF99" s="21026"/>
      <c r="AG99" s="21026"/>
      <c r="AH99" s="21026"/>
      <c r="AI99" s="21026"/>
      <c r="AJ99" s="21025"/>
      <c r="AK99" s="21026"/>
      <c r="AL99" s="21026"/>
      <c r="AM99" s="21026"/>
      <c r="AN99" s="21026"/>
      <c r="AO99" s="21026"/>
      <c r="AP99" s="21027"/>
      <c r="AQ99" s="21025"/>
      <c r="AR99" s="21026"/>
      <c r="AS99" s="21026"/>
      <c r="AT99" s="21026"/>
      <c r="AU99" s="21026"/>
      <c r="AV99" s="21026"/>
      <c r="AW99" s="21027"/>
      <c r="AX99" s="21025"/>
      <c r="AY99" s="21026"/>
      <c r="AZ99" s="21026"/>
      <c r="BA99" s="21026"/>
      <c r="BB99" s="21026"/>
      <c r="BC99" s="21026"/>
      <c r="BD99" s="21027"/>
      <c r="BE99" s="21025"/>
      <c r="BF99" s="21026"/>
      <c r="BG99" s="21026"/>
      <c r="BH99" s="21026"/>
      <c r="BI99" s="21026"/>
      <c r="BJ99" s="21026"/>
      <c r="BK99" s="21027"/>
      <c r="BL99" s="21025"/>
      <c r="BM99" s="21026"/>
      <c r="BN99" s="21026"/>
      <c r="BO99" s="21026"/>
      <c r="BP99" s="21026"/>
      <c r="BQ99" s="21026"/>
      <c r="BR99" s="21027"/>
      <c r="BS99" s="21025"/>
      <c r="BT99" s="21026"/>
      <c r="BU99" s="21026"/>
      <c r="BV99" s="21026"/>
      <c r="BW99" s="21026"/>
      <c r="BX99" s="21026"/>
      <c r="BY99" s="21027"/>
      <c r="BZ99" s="21025"/>
      <c r="CA99" s="21026"/>
      <c r="CB99" s="21026"/>
      <c r="CC99" s="21026"/>
      <c r="CD99" s="21026"/>
      <c r="CE99" s="21026"/>
      <c r="CF99" s="21027"/>
      <c r="CG99" s="21025"/>
      <c r="CH99" s="21026"/>
      <c r="CI99" s="21026"/>
      <c r="CJ99" s="21026"/>
      <c r="CK99" s="21026"/>
      <c r="CL99" s="21026"/>
      <c r="CM99" s="21027"/>
      <c r="CN99" s="21025"/>
      <c r="CO99" s="21026"/>
      <c r="CP99" s="21026"/>
      <c r="CQ99" s="21026"/>
      <c r="CR99" s="21026"/>
      <c r="CS99" s="21026"/>
      <c r="CT99" s="21027"/>
      <c r="CU99" s="21027"/>
      <c r="CV99" s="21632" t="s">
        <v>618</v>
      </c>
      <c r="CW99" s="21281"/>
      <c r="CX99" s="21633"/>
      <c r="CY99" s="21633" t="str">
        <f>IF(T99="","",T99)</f>
        <v>Наименование централизованной системы холодного водоснабжения</v>
      </c>
      <c r="CZ99" s="21633"/>
      <c r="DA99" s="21633"/>
      <c r="DB99" s="21020">
        <v>0</v>
      </c>
    </row>
    <row s="53659" customFormat="1" customHeight="1" ht="23.25">
      <c r="A100" s="21621"/>
      <c r="B100" s="21621"/>
      <c r="C100" s="21621"/>
      <c r="D100" s="21621"/>
      <c r="E100" s="21622"/>
      <c r="F100" s="21622" t="s">
        <v>93</v>
      </c>
      <c r="G100" s="21622"/>
      <c r="H100" s="21622"/>
      <c r="I100" s="21638" t="str">
        <f>S99&amp;".1"</f>
        <v>1.5.1.1</v>
      </c>
      <c r="J100" s="21621"/>
      <c r="K100" s="21621"/>
      <c r="L100" s="21624"/>
      <c r="M100" s="21639"/>
      <c r="N100" s="21639"/>
      <c r="O100" s="21639"/>
      <c r="P100" s="21640">
        <v>1</v>
      </c>
      <c r="Q100" s="21640"/>
      <c r="R100" s="21641"/>
      <c r="S100" s="21629" t="str">
        <f>$I100</f>
        <v>1.5.1.1</v>
      </c>
      <c r="T100" s="21642" t="s">
        <v>619</v>
      </c>
      <c r="U100" s="21631"/>
      <c r="V100" s="21038"/>
      <c r="W100" s="21039"/>
      <c r="X100" s="21039"/>
      <c r="Y100" s="21039"/>
      <c r="Z100" s="21039"/>
      <c r="AA100" s="21039"/>
      <c r="AB100" s="21040"/>
      <c r="AC100" s="21643"/>
      <c r="AD100" s="21644"/>
      <c r="AE100" s="21644"/>
      <c r="AF100" s="21644"/>
      <c r="AG100" s="21644"/>
      <c r="AH100" s="21644"/>
      <c r="AI100" s="21644"/>
      <c r="AJ100" s="21038"/>
      <c r="AK100" s="21039"/>
      <c r="AL100" s="21039"/>
      <c r="AM100" s="21039"/>
      <c r="AN100" s="21039"/>
      <c r="AO100" s="21039"/>
      <c r="AP100" s="21040"/>
      <c r="AQ100" s="21038"/>
      <c r="AR100" s="21039"/>
      <c r="AS100" s="21039"/>
      <c r="AT100" s="21039"/>
      <c r="AU100" s="21039"/>
      <c r="AV100" s="21039"/>
      <c r="AW100" s="21040"/>
      <c r="AX100" s="21038"/>
      <c r="AY100" s="21039"/>
      <c r="AZ100" s="21039"/>
      <c r="BA100" s="21039"/>
      <c r="BB100" s="21039"/>
      <c r="BC100" s="21039"/>
      <c r="BD100" s="21040"/>
      <c r="BE100" s="21038"/>
      <c r="BF100" s="21039"/>
      <c r="BG100" s="21039"/>
      <c r="BH100" s="21039"/>
      <c r="BI100" s="21039"/>
      <c r="BJ100" s="21039"/>
      <c r="BK100" s="21040"/>
      <c r="BL100" s="21038"/>
      <c r="BM100" s="21039"/>
      <c r="BN100" s="21039"/>
      <c r="BO100" s="21039"/>
      <c r="BP100" s="21039"/>
      <c r="BQ100" s="21039"/>
      <c r="BR100" s="21040"/>
      <c r="BS100" s="21038"/>
      <c r="BT100" s="21039"/>
      <c r="BU100" s="21039"/>
      <c r="BV100" s="21039"/>
      <c r="BW100" s="21039"/>
      <c r="BX100" s="21039"/>
      <c r="BY100" s="21040"/>
      <c r="BZ100" s="21038"/>
      <c r="CA100" s="21039"/>
      <c r="CB100" s="21039"/>
      <c r="CC100" s="21039"/>
      <c r="CD100" s="21039"/>
      <c r="CE100" s="21039"/>
      <c r="CF100" s="21040"/>
      <c r="CG100" s="21038"/>
      <c r="CH100" s="21039"/>
      <c r="CI100" s="21039"/>
      <c r="CJ100" s="21039"/>
      <c r="CK100" s="21039"/>
      <c r="CL100" s="21039"/>
      <c r="CM100" s="21040"/>
      <c r="CN100" s="21038"/>
      <c r="CO100" s="21039"/>
      <c r="CP100" s="21039"/>
      <c r="CQ100" s="21039"/>
      <c r="CR100" s="21039"/>
      <c r="CS100" s="21039"/>
      <c r="CT100" s="21040"/>
      <c r="CU100" s="21645"/>
      <c r="CV100" s="21632" t="s">
        <v>620</v>
      </c>
      <c r="CW100" s="21281"/>
      <c r="CX100" s="21633"/>
      <c r="CY100" s="21633" t="str">
        <f>IF(T100="","",T100)</f>
        <v>Наименование признака дифференциации</v>
      </c>
      <c r="CZ100" s="21633"/>
      <c r="DA100" s="21633"/>
      <c r="DB100" s="21020">
        <v>0</v>
      </c>
    </row>
    <row s="53660" customFormat="1" customHeight="1" ht="23.25">
      <c r="A101" s="21621"/>
      <c r="B101" s="21621"/>
      <c r="C101" s="21621"/>
      <c r="D101" s="21621"/>
      <c r="E101" s="21622"/>
      <c r="F101" s="21622" t="s">
        <v>93</v>
      </c>
      <c r="G101" s="21622"/>
      <c r="H101" s="21622"/>
      <c r="I101" s="21647"/>
      <c r="J101" s="21638" t="str">
        <f>I100&amp;".1"</f>
        <v>1.5.1.1.1</v>
      </c>
      <c r="K101" s="21621"/>
      <c r="L101" s="21624" t="s">
        <v>545</v>
      </c>
      <c r="M101" s="21639"/>
      <c r="N101" s="21639"/>
      <c r="O101" s="21639"/>
      <c r="P101" s="21640"/>
      <c r="Q101" s="21640">
        <v>1</v>
      </c>
      <c r="R101" s="21648"/>
      <c r="S101" s="21629" t="str">
        <f>$J101</f>
        <v>1.5.1.1.1</v>
      </c>
      <c r="T101" s="21649" t="s">
        <v>546</v>
      </c>
      <c r="U101" s="21631"/>
      <c r="V101" s="21045"/>
      <c r="W101" s="21046"/>
      <c r="X101" s="21046"/>
      <c r="Y101" s="21046"/>
      <c r="Z101" s="21046"/>
      <c r="AA101" s="21046"/>
      <c r="AB101" s="21047"/>
      <c r="AC101" s="21045" t="s">
        <v>632</v>
      </c>
      <c r="AD101" s="21046"/>
      <c r="AE101" s="21046"/>
      <c r="AF101" s="21046"/>
      <c r="AG101" s="21046"/>
      <c r="AH101" s="21046"/>
      <c r="AI101" s="21046"/>
      <c r="AJ101" s="21045"/>
      <c r="AK101" s="21046"/>
      <c r="AL101" s="21046"/>
      <c r="AM101" s="21046"/>
      <c r="AN101" s="21046"/>
      <c r="AO101" s="21046"/>
      <c r="AP101" s="21047"/>
      <c r="AQ101" s="21045"/>
      <c r="AR101" s="21046"/>
      <c r="AS101" s="21046"/>
      <c r="AT101" s="21046"/>
      <c r="AU101" s="21046"/>
      <c r="AV101" s="21046"/>
      <c r="AW101" s="21047"/>
      <c r="AX101" s="21045"/>
      <c r="AY101" s="21046"/>
      <c r="AZ101" s="21046"/>
      <c r="BA101" s="21046"/>
      <c r="BB101" s="21046"/>
      <c r="BC101" s="21046"/>
      <c r="BD101" s="21047"/>
      <c r="BE101" s="21045"/>
      <c r="BF101" s="21046"/>
      <c r="BG101" s="21046"/>
      <c r="BH101" s="21046"/>
      <c r="BI101" s="21046"/>
      <c r="BJ101" s="21046"/>
      <c r="BK101" s="21047"/>
      <c r="BL101" s="21045"/>
      <c r="BM101" s="21046"/>
      <c r="BN101" s="21046"/>
      <c r="BO101" s="21046"/>
      <c r="BP101" s="21046"/>
      <c r="BQ101" s="21046"/>
      <c r="BR101" s="21047"/>
      <c r="BS101" s="21045"/>
      <c r="BT101" s="21046"/>
      <c r="BU101" s="21046"/>
      <c r="BV101" s="21046"/>
      <c r="BW101" s="21046"/>
      <c r="BX101" s="21046"/>
      <c r="BY101" s="21047"/>
      <c r="BZ101" s="21045"/>
      <c r="CA101" s="21046"/>
      <c r="CB101" s="21046"/>
      <c r="CC101" s="21046"/>
      <c r="CD101" s="21046"/>
      <c r="CE101" s="21046"/>
      <c r="CF101" s="21047"/>
      <c r="CG101" s="21045"/>
      <c r="CH101" s="21046"/>
      <c r="CI101" s="21046"/>
      <c r="CJ101" s="21046"/>
      <c r="CK101" s="21046"/>
      <c r="CL101" s="21046"/>
      <c r="CM101" s="21047"/>
      <c r="CN101" s="21045"/>
      <c r="CO101" s="21046"/>
      <c r="CP101" s="21046"/>
      <c r="CQ101" s="21046"/>
      <c r="CR101" s="21046"/>
      <c r="CS101" s="21046"/>
      <c r="CT101" s="21047"/>
      <c r="CU101" s="21047"/>
      <c r="CV101" s="21650" t="s">
        <v>621</v>
      </c>
      <c r="CW101" s="21281"/>
      <c r="CX101" s="21633"/>
      <c r="CY101" s="21633" t="str">
        <f>IF(T101="","",T101)</f>
        <v>Группа потребителей</v>
      </c>
      <c r="CZ101" s="21633"/>
      <c r="DA101" s="21633"/>
      <c r="DB101" s="21020">
        <v>0</v>
      </c>
    </row>
    <row s="53661" customFormat="1" customHeight="1" ht="23.25">
      <c r="A102" s="21621"/>
      <c r="B102" s="21621"/>
      <c r="C102" s="21621"/>
      <c r="D102" s="21621"/>
      <c r="E102" s="21622"/>
      <c r="F102" s="21622" t="s">
        <v>93</v>
      </c>
      <c r="G102" s="21622"/>
      <c r="H102" s="21622"/>
      <c r="I102" s="21647"/>
      <c r="J102" s="21647"/>
      <c r="K102" s="21638" t="str">
        <f>J101&amp;".1"</f>
        <v>1.5.1.1.1.1</v>
      </c>
      <c r="L102" s="21624"/>
      <c r="M102" s="21639"/>
      <c r="N102" s="21639"/>
      <c r="O102" s="21639"/>
      <c r="P102" s="21640"/>
      <c r="Q102" s="21640"/>
      <c r="R102" s="21648">
        <v>1</v>
      </c>
      <c r="S102" s="21629" t="str">
        <f>$K102</f>
        <v>1.5.1.1.1.1</v>
      </c>
      <c r="T102" s="21652"/>
      <c r="U102" s="21631"/>
      <c r="V102" s="21053"/>
      <c r="W102" s="21053"/>
      <c r="X102" s="21054"/>
      <c r="Y102" s="21055"/>
      <c r="Z102" s="21056" t="s">
        <v>63</v>
      </c>
      <c r="AA102" s="21055"/>
      <c r="AB102" s="21056" t="s">
        <v>63</v>
      </c>
      <c r="AC102" s="21053">
        <v>24.56</v>
      </c>
      <c r="AD102" s="21053"/>
      <c r="AE102" s="21054"/>
      <c r="AF102" s="21055">
        <v>45292.52328703704</v>
      </c>
      <c r="AG102" s="21056" t="s">
        <v>63</v>
      </c>
      <c r="AH102" s="21321">
        <v>45473.52357638889</v>
      </c>
      <c r="AI102" s="21056" t="s">
        <v>63</v>
      </c>
      <c r="AJ102" s="21053">
        <v>31.92</v>
      </c>
      <c r="AK102" s="21053"/>
      <c r="AL102" s="21054"/>
      <c r="AM102" s="21055">
        <v>45474.524143518516</v>
      </c>
      <c r="AN102" s="21056" t="s">
        <v>63</v>
      </c>
      <c r="AO102" s="21055">
        <v>45657.524375</v>
      </c>
      <c r="AP102" s="21056" t="s">
        <v>63</v>
      </c>
      <c r="AQ102" s="21053">
        <v>31.92</v>
      </c>
      <c r="AR102" s="21053"/>
      <c r="AS102" s="21054"/>
      <c r="AT102" s="21055">
        <v>45658.5249537037</v>
      </c>
      <c r="AU102" s="21056" t="s">
        <v>63</v>
      </c>
      <c r="AV102" s="21055">
        <v>45838.5252662037</v>
      </c>
      <c r="AW102" s="21056" t="s">
        <v>63</v>
      </c>
      <c r="AX102" s="21053">
        <v>38.95</v>
      </c>
      <c r="AY102" s="21053"/>
      <c r="AZ102" s="21054"/>
      <c r="BA102" s="21055">
        <v>45839.52581018519</v>
      </c>
      <c r="BB102" s="21056" t="s">
        <v>63</v>
      </c>
      <c r="BC102" s="21055">
        <v>46022.52633101852</v>
      </c>
      <c r="BD102" s="21056" t="s">
        <v>63</v>
      </c>
      <c r="BE102" s="21053">
        <v>38.95</v>
      </c>
      <c r="BF102" s="21053"/>
      <c r="BG102" s="21054"/>
      <c r="BH102" s="21055">
        <v>46023.52681712963</v>
      </c>
      <c r="BI102" s="21056" t="s">
        <v>63</v>
      </c>
      <c r="BJ102" s="21055">
        <v>46203.52707175926</v>
      </c>
      <c r="BK102" s="21056" t="s">
        <v>63</v>
      </c>
      <c r="BL102" s="21053">
        <v>41.68</v>
      </c>
      <c r="BM102" s="21053"/>
      <c r="BN102" s="21054"/>
      <c r="BO102" s="21055">
        <v>46204.52782407407</v>
      </c>
      <c r="BP102" s="21056" t="s">
        <v>63</v>
      </c>
      <c r="BQ102" s="21055">
        <v>46387.5281712963</v>
      </c>
      <c r="BR102" s="21056" t="s">
        <v>63</v>
      </c>
      <c r="BS102" s="21053">
        <v>41.68</v>
      </c>
      <c r="BT102" s="21053"/>
      <c r="BU102" s="21054"/>
      <c r="BV102" s="21055">
        <v>46388.52858796297</v>
      </c>
      <c r="BW102" s="21056" t="s">
        <v>63</v>
      </c>
      <c r="BX102" s="21055">
        <v>46568.528969907406</v>
      </c>
      <c r="BY102" s="21056" t="s">
        <v>63</v>
      </c>
      <c r="BZ102" s="21053">
        <v>44.59</v>
      </c>
      <c r="CA102" s="21053"/>
      <c r="CB102" s="21054"/>
      <c r="CC102" s="21055">
        <v>46569.529953703706</v>
      </c>
      <c r="CD102" s="21056" t="s">
        <v>63</v>
      </c>
      <c r="CE102" s="21055">
        <v>46752.5303125</v>
      </c>
      <c r="CF102" s="21056" t="s">
        <v>63</v>
      </c>
      <c r="CG102" s="21053">
        <v>44.59</v>
      </c>
      <c r="CH102" s="21053"/>
      <c r="CI102" s="21054"/>
      <c r="CJ102" s="21055">
        <v>46753.530960648146</v>
      </c>
      <c r="CK102" s="21056" t="s">
        <v>63</v>
      </c>
      <c r="CL102" s="21055">
        <v>46934.531377314815</v>
      </c>
      <c r="CM102" s="21056" t="s">
        <v>63</v>
      </c>
      <c r="CN102" s="21053">
        <v>46.92</v>
      </c>
      <c r="CO102" s="21053"/>
      <c r="CP102" s="21054"/>
      <c r="CQ102" s="21055">
        <v>46935.53193287037</v>
      </c>
      <c r="CR102" s="21056" t="s">
        <v>63</v>
      </c>
      <c r="CS102" s="21055">
        <v>47118.532222222224</v>
      </c>
      <c r="CT102" s="21056" t="s">
        <v>63</v>
      </c>
      <c r="CU102" s="21653"/>
      <c r="CV102"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2" s="21281">
        <f>STRCHECKDATE(V103:CU103)</f>
      </c>
      <c r="CX102" s="21633"/>
      <c r="CY102" s="21633" t="str">
        <f>IF(T102="","",T102)</f>
        <v/>
      </c>
      <c r="CZ102" s="21633"/>
      <c r="DA102" s="21633"/>
      <c r="DB102" s="21020">
        <v>0</v>
      </c>
    </row>
    <row s="53662" customFormat="1" customHeight="1" ht="14.25">
      <c r="A103" s="21621"/>
      <c r="B103" s="21621"/>
      <c r="C103" s="21621"/>
      <c r="D103" s="21621"/>
      <c r="E103" s="21622"/>
      <c r="F103" s="21622" t="s">
        <v>93</v>
      </c>
      <c r="G103" s="21622"/>
      <c r="H103" s="21622"/>
      <c r="I103" s="21647"/>
      <c r="J103" s="21647"/>
      <c r="K103" s="21638"/>
      <c r="L103" s="21624"/>
      <c r="M103" s="21639"/>
      <c r="N103" s="21639"/>
      <c r="O103" s="21639"/>
      <c r="P103" s="21640"/>
      <c r="Q103" s="21640"/>
      <c r="R103" s="21648"/>
      <c r="S103" s="21656"/>
      <c r="T103" s="21631"/>
      <c r="U103" s="21631"/>
      <c r="V103" s="21063"/>
      <c r="W103" s="21063"/>
      <c r="X103" s="21064" t="str">
        <f>Y102&amp;"-"&amp;AA102</f>
        <v>-</v>
      </c>
      <c r="Y103" s="21065"/>
      <c r="Z103" s="21056"/>
      <c r="AA103" s="21065"/>
      <c r="AB103" s="21056"/>
      <c r="AC103" s="21063"/>
      <c r="AD103" s="21063"/>
      <c r="AE103" s="21064" t="str">
        <f>AF102&amp;"-"&amp;AH102</f>
        <v>45292.52328703704-45473.52357638889</v>
      </c>
      <c r="AF103" s="21065"/>
      <c r="AG103" s="21056"/>
      <c r="AH103" s="21324"/>
      <c r="AI103" s="21056"/>
      <c r="AJ103" s="21063"/>
      <c r="AK103" s="21063"/>
      <c r="AL103" s="21064" t="str">
        <f>AM102&amp;"-"&amp;AO102</f>
        <v>45474.524143518516-45657.524375</v>
      </c>
      <c r="AM103" s="21065"/>
      <c r="AN103" s="21056"/>
      <c r="AO103" s="21065"/>
      <c r="AP103" s="21056"/>
      <c r="AQ103" s="21063"/>
      <c r="AR103" s="21063"/>
      <c r="AS103" s="21064" t="str">
        <f>AT102&amp;"-"&amp;AV102</f>
        <v>45658.5249537037-45838.5252662037</v>
      </c>
      <c r="AT103" s="21065"/>
      <c r="AU103" s="21056"/>
      <c r="AV103" s="21065"/>
      <c r="AW103" s="21056"/>
      <c r="AX103" s="21063"/>
      <c r="AY103" s="21063"/>
      <c r="AZ103" s="21064" t="str">
        <f>BA102&amp;"-"&amp;BC102</f>
        <v>45839.52581018519-46022.52633101852</v>
      </c>
      <c r="BA103" s="21065"/>
      <c r="BB103" s="21056"/>
      <c r="BC103" s="21065"/>
      <c r="BD103" s="21056"/>
      <c r="BE103" s="21063"/>
      <c r="BF103" s="21063"/>
      <c r="BG103" s="21064" t="str">
        <f>BH102&amp;"-"&amp;BJ102</f>
        <v>46023.52681712963-46203.52707175926</v>
      </c>
      <c r="BH103" s="21065"/>
      <c r="BI103" s="21056"/>
      <c r="BJ103" s="21065"/>
      <c r="BK103" s="21056"/>
      <c r="BL103" s="21063"/>
      <c r="BM103" s="21063"/>
      <c r="BN103" s="21064" t="str">
        <f>BO102&amp;"-"&amp;BQ102</f>
        <v>46204.52782407407-46387.5281712963</v>
      </c>
      <c r="BO103" s="21065"/>
      <c r="BP103" s="21056"/>
      <c r="BQ103" s="21065"/>
      <c r="BR103" s="21056"/>
      <c r="BS103" s="21063"/>
      <c r="BT103" s="21063"/>
      <c r="BU103" s="21064" t="str">
        <f>BV102&amp;"-"&amp;BX102</f>
        <v>46388.52858796297-46568.528969907406</v>
      </c>
      <c r="BV103" s="21065"/>
      <c r="BW103" s="21056"/>
      <c r="BX103" s="21065"/>
      <c r="BY103" s="21056"/>
      <c r="BZ103" s="21063"/>
      <c r="CA103" s="21063"/>
      <c r="CB103" s="21064" t="str">
        <f>CC102&amp;"-"&amp;CE102</f>
        <v>46569.529953703706-46752.5303125</v>
      </c>
      <c r="CC103" s="21065"/>
      <c r="CD103" s="21056"/>
      <c r="CE103" s="21065"/>
      <c r="CF103" s="21056"/>
      <c r="CG103" s="21063"/>
      <c r="CH103" s="21063"/>
      <c r="CI103" s="21064" t="str">
        <f>CJ102&amp;"-"&amp;CL102</f>
        <v>46753.530960648146-46934.531377314815</v>
      </c>
      <c r="CJ103" s="21065"/>
      <c r="CK103" s="21056"/>
      <c r="CL103" s="21065"/>
      <c r="CM103" s="21056"/>
      <c r="CN103" s="21063"/>
      <c r="CO103" s="21063"/>
      <c r="CP103" s="21064" t="str">
        <f>CQ102&amp;"-"&amp;CS102</f>
        <v>46935.53193287037-47118.532222222224</v>
      </c>
      <c r="CQ103" s="21065"/>
      <c r="CR103" s="21056"/>
      <c r="CS103" s="21065"/>
      <c r="CT103" s="21056"/>
      <c r="CU103" s="21657"/>
      <c r="CV103" s="21654"/>
      <c r="CW103" s="21281"/>
      <c r="CX103" s="21633"/>
      <c r="CY103" s="21633" t="str">
        <f>IF(T103="","",T103)</f>
        <v/>
      </c>
      <c r="CZ103" s="21633"/>
      <c r="DA103" s="21633"/>
      <c r="DB103" s="21020">
        <v>0</v>
      </c>
    </row>
    <row s="53663" customFormat="1" customHeight="1" ht="21">
      <c r="A104" s="21621"/>
      <c r="B104" s="21621"/>
      <c r="C104" s="21621"/>
      <c r="D104" s="21621"/>
      <c r="E104" s="21622"/>
      <c r="F104" s="21622" t="s">
        <v>93</v>
      </c>
      <c r="G104" s="21622"/>
      <c r="H104" s="21622"/>
      <c r="I104" s="21647"/>
      <c r="J104" s="21638"/>
      <c r="K104" s="21621"/>
      <c r="L104" s="21624"/>
      <c r="M104" s="21639"/>
      <c r="N104" s="21639"/>
      <c r="O104" s="21639"/>
      <c r="P104" s="21640"/>
      <c r="Q104" s="21640"/>
      <c r="R104" s="21641"/>
      <c r="S104" s="22690"/>
      <c r="T104" s="22691" t="s">
        <v>622</v>
      </c>
      <c r="U104" s="22692"/>
      <c r="V104" s="22693"/>
      <c r="W104" s="22694"/>
      <c r="X104" s="22695"/>
      <c r="Y104" s="22696"/>
      <c r="Z104" s="22697"/>
      <c r="AA104" s="22698"/>
      <c r="AB104" s="22699"/>
      <c r="AC104" s="22700"/>
      <c r="AD104" s="22701"/>
      <c r="AE104" s="22702"/>
      <c r="AF104" s="22703"/>
      <c r="AG104" s="22704"/>
      <c r="AH104" s="22705"/>
      <c r="AI104" s="22706"/>
      <c r="AJ104" s="22707"/>
      <c r="AK104" s="22708"/>
      <c r="AL104" s="22709"/>
      <c r="AM104" s="22710"/>
      <c r="AN104" s="22711"/>
      <c r="AO104" s="22712"/>
      <c r="AP104" s="22713"/>
      <c r="AQ104" s="22714"/>
      <c r="AR104" s="22715"/>
      <c r="AS104" s="22716"/>
      <c r="AT104" s="22717"/>
      <c r="AU104" s="22718"/>
      <c r="AV104" s="22719"/>
      <c r="AW104" s="22720"/>
      <c r="AX104" s="22721"/>
      <c r="AY104" s="22722"/>
      <c r="AZ104" s="22723"/>
      <c r="BA104" s="22724"/>
      <c r="BB104" s="22725"/>
      <c r="BC104" s="22726"/>
      <c r="BD104" s="22727"/>
      <c r="BE104" s="22728"/>
      <c r="BF104" s="22729"/>
      <c r="BG104" s="22730"/>
      <c r="BH104" s="22731"/>
      <c r="BI104" s="22732"/>
      <c r="BJ104" s="22733"/>
      <c r="BK104" s="22734"/>
      <c r="BL104" s="22735"/>
      <c r="BM104" s="22736"/>
      <c r="BN104" s="22737"/>
      <c r="BO104" s="22738"/>
      <c r="BP104" s="22739"/>
      <c r="BQ104" s="22740"/>
      <c r="BR104" s="22741"/>
      <c r="BS104" s="22742"/>
      <c r="BT104" s="22743"/>
      <c r="BU104" s="22744"/>
      <c r="BV104" s="22745"/>
      <c r="BW104" s="22746"/>
      <c r="BX104" s="22747"/>
      <c r="BY104" s="22748"/>
      <c r="BZ104" s="22749"/>
      <c r="CA104" s="22750"/>
      <c r="CB104" s="22751"/>
      <c r="CC104" s="22752"/>
      <c r="CD104" s="22753"/>
      <c r="CE104" s="22754"/>
      <c r="CF104" s="22755"/>
      <c r="CG104" s="22756"/>
      <c r="CH104" s="22757"/>
      <c r="CI104" s="22758"/>
      <c r="CJ104" s="22759"/>
      <c r="CK104" s="22760"/>
      <c r="CL104" s="22761"/>
      <c r="CM104" s="22762"/>
      <c r="CN104" s="22763"/>
      <c r="CO104" s="22764"/>
      <c r="CP104" s="22765"/>
      <c r="CQ104" s="22766"/>
      <c r="CR104" s="22767"/>
      <c r="CS104" s="22768"/>
      <c r="CT104" s="22769"/>
      <c r="CU104" s="22770"/>
      <c r="CV104" s="21632" t="s">
        <v>623</v>
      </c>
      <c r="CW104" s="21281"/>
      <c r="CX104" s="21633"/>
      <c r="CY104" s="21633" t="str">
        <f>IF(T104="","",T104)</f>
        <v>Добавить значение признака дифференциации</v>
      </c>
      <c r="CZ104" s="21633"/>
      <c r="DA104" s="21633"/>
      <c r="DB104" s="21020">
        <v>0</v>
      </c>
    </row>
    <row s="53745" customFormat="1" customHeight="1" ht="23.25">
      <c r="A105" s="21621"/>
      <c r="B105" s="21621"/>
      <c r="C105" s="21621"/>
      <c r="D105" s="21621"/>
      <c r="E105" s="21622"/>
      <c r="F105" s="21622"/>
      <c r="G105" s="21622"/>
      <c r="H105" s="21622"/>
      <c r="I105" s="21647"/>
      <c r="J105" s="21638" t="str">
        <f>I100&amp;".2"</f>
        <v>1.5.1.1.2</v>
      </c>
      <c r="K105" s="21621"/>
      <c r="L105" s="21624" t="s">
        <v>545</v>
      </c>
      <c r="M105" s="21639"/>
      <c r="N105" s="21639"/>
      <c r="O105" s="21639"/>
      <c r="P105" s="21640"/>
      <c r="Q105" s="21741" t="s">
        <v>106</v>
      </c>
      <c r="R105" s="21648"/>
      <c r="S105" s="21629" t="str">
        <f>$J105</f>
        <v>1.5.1.1.2</v>
      </c>
      <c r="T105" s="21649" t="s">
        <v>546</v>
      </c>
      <c r="U105" s="21631"/>
      <c r="V105" s="21045"/>
      <c r="W105" s="21046"/>
      <c r="X105" s="21046"/>
      <c r="Y105" s="21046"/>
      <c r="Z105" s="21046"/>
      <c r="AA105" s="21046"/>
      <c r="AB105" s="21047"/>
      <c r="AC105" s="21045" t="s">
        <v>633</v>
      </c>
      <c r="AD105" s="21046"/>
      <c r="AE105" s="21046"/>
      <c r="AF105" s="21046"/>
      <c r="AG105" s="21046"/>
      <c r="AH105" s="21046"/>
      <c r="AI105" s="21046"/>
      <c r="AJ105" s="21045"/>
      <c r="AK105" s="21046"/>
      <c r="AL105" s="21046"/>
      <c r="AM105" s="21046"/>
      <c r="AN105" s="21046"/>
      <c r="AO105" s="21046"/>
      <c r="AP105" s="21047"/>
      <c r="AQ105" s="21045"/>
      <c r="AR105" s="21046"/>
      <c r="AS105" s="21046"/>
      <c r="AT105" s="21046"/>
      <c r="AU105" s="21046"/>
      <c r="AV105" s="21046"/>
      <c r="AW105" s="21047"/>
      <c r="AX105" s="21045"/>
      <c r="AY105" s="21046"/>
      <c r="AZ105" s="21046"/>
      <c r="BA105" s="21046"/>
      <c r="BB105" s="21046"/>
      <c r="BC105" s="21046"/>
      <c r="BD105" s="21047"/>
      <c r="BE105" s="21045"/>
      <c r="BF105" s="21046"/>
      <c r="BG105" s="21046"/>
      <c r="BH105" s="21046"/>
      <c r="BI105" s="21046"/>
      <c r="BJ105" s="21046"/>
      <c r="BK105" s="21047"/>
      <c r="BL105" s="21045"/>
      <c r="BM105" s="21046"/>
      <c r="BN105" s="21046"/>
      <c r="BO105" s="21046"/>
      <c r="BP105" s="21046"/>
      <c r="BQ105" s="21046"/>
      <c r="BR105" s="21047"/>
      <c r="BS105" s="21045"/>
      <c r="BT105" s="21046"/>
      <c r="BU105" s="21046"/>
      <c r="BV105" s="21046"/>
      <c r="BW105" s="21046"/>
      <c r="BX105" s="21046"/>
      <c r="BY105" s="21047"/>
      <c r="BZ105" s="21045"/>
      <c r="CA105" s="21046"/>
      <c r="CB105" s="21046"/>
      <c r="CC105" s="21046"/>
      <c r="CD105" s="21046"/>
      <c r="CE105" s="21046"/>
      <c r="CF105" s="21047"/>
      <c r="CG105" s="21045"/>
      <c r="CH105" s="21046"/>
      <c r="CI105" s="21046"/>
      <c r="CJ105" s="21046"/>
      <c r="CK105" s="21046"/>
      <c r="CL105" s="21046"/>
      <c r="CM105" s="21047"/>
      <c r="CN105" s="21045"/>
      <c r="CO105" s="21046"/>
      <c r="CP105" s="21046"/>
      <c r="CQ105" s="21046"/>
      <c r="CR105" s="21046"/>
      <c r="CS105" s="21046"/>
      <c r="CT105" s="21047"/>
      <c r="CU105" s="21047"/>
      <c r="CV105" s="21650" t="s">
        <v>621</v>
      </c>
      <c r="CW105" s="21281"/>
      <c r="CX105" s="21633"/>
      <c r="CY105" s="21633" t="str">
        <f>IF(T105="","",T105)</f>
        <v>Группа потребителей</v>
      </c>
      <c r="CZ105" s="21633"/>
      <c r="DA105" s="21633"/>
      <c r="DB105" s="21020">
        <v>0</v>
      </c>
    </row>
    <row s="53746" customFormat="1" customHeight="1" ht="23.25">
      <c r="A106" s="21621"/>
      <c r="B106" s="21621"/>
      <c r="C106" s="21621"/>
      <c r="D106" s="21621"/>
      <c r="E106" s="21622"/>
      <c r="F106" s="21622"/>
      <c r="G106" s="21622"/>
      <c r="H106" s="21622"/>
      <c r="I106" s="21647"/>
      <c r="J106" s="21647" t="str">
        <f>I100&amp;".1"</f>
        <v>1.5.1.1.1</v>
      </c>
      <c r="K106" s="21638" t="str">
        <f>J105&amp;".1"</f>
        <v>1.5.1.1.2.1</v>
      </c>
      <c r="L106" s="21624"/>
      <c r="M106" s="21639"/>
      <c r="N106" s="21639"/>
      <c r="O106" s="21639"/>
      <c r="P106" s="21640"/>
      <c r="Q106" s="21640"/>
      <c r="R106" s="21648">
        <v>1</v>
      </c>
      <c r="S106" s="21629" t="str">
        <f>$K106</f>
        <v>1.5.1.1.2.1</v>
      </c>
      <c r="T106" s="21652"/>
      <c r="U106" s="21631"/>
      <c r="V106" s="21053"/>
      <c r="W106" s="21053"/>
      <c r="X106" s="21054"/>
      <c r="Y106" s="21055"/>
      <c r="Z106" s="21056" t="s">
        <v>63</v>
      </c>
      <c r="AA106" s="21055"/>
      <c r="AB106" s="21056" t="s">
        <v>63</v>
      </c>
      <c r="AC106" s="21053">
        <v>20.47</v>
      </c>
      <c r="AD106" s="21053"/>
      <c r="AE106" s="21054"/>
      <c r="AF106" s="21055">
        <v>45292.5233912037</v>
      </c>
      <c r="AG106" s="21056" t="s">
        <v>63</v>
      </c>
      <c r="AH106" s="21321">
        <v>45473.52381944445</v>
      </c>
      <c r="AI106" s="21056" t="s">
        <v>63</v>
      </c>
      <c r="AJ106" s="21053">
        <v>26.6</v>
      </c>
      <c r="AK106" s="21053"/>
      <c r="AL106" s="21054"/>
      <c r="AM106" s="21055">
        <v>45474.524247685185</v>
      </c>
      <c r="AN106" s="21056" t="s">
        <v>63</v>
      </c>
      <c r="AO106" s="21055">
        <v>45657.524560185186</v>
      </c>
      <c r="AP106" s="21056" t="s">
        <v>63</v>
      </c>
      <c r="AQ106" s="21053">
        <v>26.6</v>
      </c>
      <c r="AR106" s="21053"/>
      <c r="AS106" s="21054"/>
      <c r="AT106" s="21055">
        <v>45658.52508101852</v>
      </c>
      <c r="AU106" s="21056" t="s">
        <v>63</v>
      </c>
      <c r="AV106" s="21055">
        <v>45838.52539351852</v>
      </c>
      <c r="AW106" s="21056" t="s">
        <v>63</v>
      </c>
      <c r="AX106" s="21053">
        <v>32.46</v>
      </c>
      <c r="AY106" s="21053"/>
      <c r="AZ106" s="21054"/>
      <c r="BA106" s="21055">
        <v>45839.52613425926</v>
      </c>
      <c r="BB106" s="21056" t="s">
        <v>63</v>
      </c>
      <c r="BC106" s="21055">
        <v>46022.526412037034</v>
      </c>
      <c r="BD106" s="21056" t="s">
        <v>63</v>
      </c>
      <c r="BE106" s="21053">
        <v>32.46</v>
      </c>
      <c r="BF106" s="21053"/>
      <c r="BG106" s="21054"/>
      <c r="BH106" s="21055">
        <v>46023.526921296296</v>
      </c>
      <c r="BI106" s="21056" t="s">
        <v>63</v>
      </c>
      <c r="BJ106" s="21055">
        <v>46203.52717592593</v>
      </c>
      <c r="BK106" s="21056" t="s">
        <v>63</v>
      </c>
      <c r="BL106" s="21053">
        <v>34.73</v>
      </c>
      <c r="BM106" s="21053"/>
      <c r="BN106" s="21054"/>
      <c r="BO106" s="21055">
        <v>46204.52806712963</v>
      </c>
      <c r="BP106" s="21056" t="s">
        <v>63</v>
      </c>
      <c r="BQ106" s="21055">
        <v>46387.528229166666</v>
      </c>
      <c r="BR106" s="21056" t="s">
        <v>63</v>
      </c>
      <c r="BS106" s="21053">
        <v>34.73</v>
      </c>
      <c r="BT106" s="21053"/>
      <c r="BU106" s="21054"/>
      <c r="BV106" s="21055">
        <v>46388.528715277775</v>
      </c>
      <c r="BW106" s="21056" t="s">
        <v>63</v>
      </c>
      <c r="BX106" s="21055">
        <v>46568.529178240744</v>
      </c>
      <c r="BY106" s="21056" t="s">
        <v>63</v>
      </c>
      <c r="BZ106" s="21053">
        <v>37.16</v>
      </c>
      <c r="CA106" s="21053"/>
      <c r="CB106" s="21054"/>
      <c r="CC106" s="21055">
        <v>46569.530127314814</v>
      </c>
      <c r="CD106" s="21056" t="s">
        <v>63</v>
      </c>
      <c r="CE106" s="21055">
        <v>46752.530381944445</v>
      </c>
      <c r="CF106" s="21056" t="s">
        <v>63</v>
      </c>
      <c r="CG106" s="21053">
        <v>37.16</v>
      </c>
      <c r="CH106" s="21053"/>
      <c r="CI106" s="21054"/>
      <c r="CJ106" s="21055">
        <v>46753.53108796296</v>
      </c>
      <c r="CK106" s="21056" t="s">
        <v>63</v>
      </c>
      <c r="CL106" s="21055">
        <v>46934.531539351854</v>
      </c>
      <c r="CM106" s="21056" t="s">
        <v>63</v>
      </c>
      <c r="CN106" s="21053">
        <v>39.1</v>
      </c>
      <c r="CO106" s="21053"/>
      <c r="CP106" s="21054"/>
      <c r="CQ106" s="21055">
        <v>46935.53207175926</v>
      </c>
      <c r="CR106" s="21056" t="s">
        <v>63</v>
      </c>
      <c r="CS106" s="21055">
        <v>47118.532372685186</v>
      </c>
      <c r="CT106" s="21056" t="s">
        <v>63</v>
      </c>
      <c r="CU106" s="21653"/>
      <c r="CV106"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6" s="21281">
        <f>STRCHECKDATE(V107:CU107)</f>
      </c>
      <c r="CX106" s="21633"/>
      <c r="CY106" s="21633" t="str">
        <f>IF(T106="","",T106)</f>
        <v/>
      </c>
      <c r="CZ106" s="21633"/>
      <c r="DA106" s="21633"/>
      <c r="DB106" s="21020">
        <v>0</v>
      </c>
    </row>
    <row s="53747" customFormat="1" customHeight="1" ht="14.25">
      <c r="A107" s="21621"/>
      <c r="B107" s="21621"/>
      <c r="C107" s="21621"/>
      <c r="D107" s="21621"/>
      <c r="E107" s="21622"/>
      <c r="F107" s="21622"/>
      <c r="G107" s="21622"/>
      <c r="H107" s="21622"/>
      <c r="I107" s="21647"/>
      <c r="J107" s="21647" t="str">
        <f>I100&amp;".1"</f>
        <v>1.5.1.1.1</v>
      </c>
      <c r="K107" s="21638"/>
      <c r="L107" s="21624"/>
      <c r="M107" s="21639"/>
      <c r="N107" s="21639"/>
      <c r="O107" s="21639"/>
      <c r="P107" s="21640"/>
      <c r="Q107" s="21640"/>
      <c r="R107" s="21648"/>
      <c r="S107" s="21656"/>
      <c r="T107" s="21631"/>
      <c r="U107" s="21631"/>
      <c r="V107" s="21063"/>
      <c r="W107" s="21063"/>
      <c r="X107" s="21064" t="str">
        <f>Y106&amp;"-"&amp;AA106</f>
        <v>-</v>
      </c>
      <c r="Y107" s="21065"/>
      <c r="Z107" s="21056"/>
      <c r="AA107" s="21065"/>
      <c r="AB107" s="21056"/>
      <c r="AC107" s="21063"/>
      <c r="AD107" s="21063"/>
      <c r="AE107" s="21064" t="str">
        <f>AF106&amp;"-"&amp;AH106</f>
        <v>45292.5233912037-45473.52381944445</v>
      </c>
      <c r="AF107" s="21065"/>
      <c r="AG107" s="21056"/>
      <c r="AH107" s="21324"/>
      <c r="AI107" s="21056"/>
      <c r="AJ107" s="21063"/>
      <c r="AK107" s="21063"/>
      <c r="AL107" s="21064" t="str">
        <f>AM106&amp;"-"&amp;AO106</f>
        <v>45474.524247685185-45657.524560185186</v>
      </c>
      <c r="AM107" s="21065"/>
      <c r="AN107" s="21056"/>
      <c r="AO107" s="21065"/>
      <c r="AP107" s="21056"/>
      <c r="AQ107" s="21063"/>
      <c r="AR107" s="21063"/>
      <c r="AS107" s="21064" t="str">
        <f>AT106&amp;"-"&amp;AV106</f>
        <v>45658.52508101852-45838.52539351852</v>
      </c>
      <c r="AT107" s="21065"/>
      <c r="AU107" s="21056"/>
      <c r="AV107" s="21065"/>
      <c r="AW107" s="21056"/>
      <c r="AX107" s="21063"/>
      <c r="AY107" s="21063"/>
      <c r="AZ107" s="21064" t="str">
        <f>BA106&amp;"-"&amp;BC106</f>
        <v>45839.52613425926-46022.526412037034</v>
      </c>
      <c r="BA107" s="21065"/>
      <c r="BB107" s="21056"/>
      <c r="BC107" s="21065"/>
      <c r="BD107" s="21056"/>
      <c r="BE107" s="21063"/>
      <c r="BF107" s="21063"/>
      <c r="BG107" s="21064" t="str">
        <f>BH106&amp;"-"&amp;BJ106</f>
        <v>46023.526921296296-46203.52717592593</v>
      </c>
      <c r="BH107" s="21065"/>
      <c r="BI107" s="21056"/>
      <c r="BJ107" s="21065"/>
      <c r="BK107" s="21056"/>
      <c r="BL107" s="21063"/>
      <c r="BM107" s="21063"/>
      <c r="BN107" s="21064" t="str">
        <f>BO106&amp;"-"&amp;BQ106</f>
        <v>46204.52806712963-46387.528229166666</v>
      </c>
      <c r="BO107" s="21065"/>
      <c r="BP107" s="21056"/>
      <c r="BQ107" s="21065"/>
      <c r="BR107" s="21056"/>
      <c r="BS107" s="21063"/>
      <c r="BT107" s="21063"/>
      <c r="BU107" s="21064" t="str">
        <f>BV106&amp;"-"&amp;BX106</f>
        <v>46388.528715277775-46568.529178240744</v>
      </c>
      <c r="BV107" s="21065"/>
      <c r="BW107" s="21056"/>
      <c r="BX107" s="21065"/>
      <c r="BY107" s="21056"/>
      <c r="BZ107" s="21063"/>
      <c r="CA107" s="21063"/>
      <c r="CB107" s="21064" t="str">
        <f>CC106&amp;"-"&amp;CE106</f>
        <v>46569.530127314814-46752.530381944445</v>
      </c>
      <c r="CC107" s="21065"/>
      <c r="CD107" s="21056"/>
      <c r="CE107" s="21065"/>
      <c r="CF107" s="21056"/>
      <c r="CG107" s="21063"/>
      <c r="CH107" s="21063"/>
      <c r="CI107" s="21064" t="str">
        <f>CJ106&amp;"-"&amp;CL106</f>
        <v>46753.53108796296-46934.531539351854</v>
      </c>
      <c r="CJ107" s="21065"/>
      <c r="CK107" s="21056"/>
      <c r="CL107" s="21065"/>
      <c r="CM107" s="21056"/>
      <c r="CN107" s="21063"/>
      <c r="CO107" s="21063"/>
      <c r="CP107" s="21064" t="str">
        <f>CQ106&amp;"-"&amp;CS106</f>
        <v>46935.53207175926-47118.532372685186</v>
      </c>
      <c r="CQ107" s="21065"/>
      <c r="CR107" s="21056"/>
      <c r="CS107" s="21065"/>
      <c r="CT107" s="21056"/>
      <c r="CU107" s="21657"/>
      <c r="CV107" s="21654"/>
      <c r="CW107" s="21281"/>
      <c r="CX107" s="21633"/>
      <c r="CY107" s="21633" t="str">
        <f>IF(T107="","",T107)</f>
        <v/>
      </c>
      <c r="CZ107" s="21633"/>
      <c r="DA107" s="21633"/>
      <c r="DB107" s="21020">
        <v>0</v>
      </c>
    </row>
    <row s="53748" customFormat="1" customHeight="1" ht="21">
      <c r="A108" s="21621"/>
      <c r="B108" s="21621"/>
      <c r="C108" s="21621"/>
      <c r="D108" s="21621"/>
      <c r="E108" s="21622"/>
      <c r="F108" s="21622"/>
      <c r="G108" s="21622"/>
      <c r="H108" s="21622"/>
      <c r="I108" s="21647"/>
      <c r="J108" s="21638" t="str">
        <f>I100&amp;".1"</f>
        <v>1.5.1.1.1</v>
      </c>
      <c r="K108" s="21621"/>
      <c r="L108" s="21624"/>
      <c r="M108" s="21639"/>
      <c r="N108" s="21639"/>
      <c r="O108" s="21639"/>
      <c r="P108" s="21640"/>
      <c r="Q108" s="21640"/>
      <c r="R108" s="21641"/>
      <c r="S108" s="22775"/>
      <c r="T108" s="22776" t="s">
        <v>622</v>
      </c>
      <c r="U108" s="22777"/>
      <c r="V108" s="22778"/>
      <c r="W108" s="22779"/>
      <c r="X108" s="22780"/>
      <c r="Y108" s="22781"/>
      <c r="Z108" s="22782"/>
      <c r="AA108" s="22783"/>
      <c r="AB108" s="22784"/>
      <c r="AC108" s="22785"/>
      <c r="AD108" s="22786"/>
      <c r="AE108" s="22787"/>
      <c r="AF108" s="22788"/>
      <c r="AG108" s="22789"/>
      <c r="AH108" s="22790"/>
      <c r="AI108" s="22791"/>
      <c r="AJ108" s="22792"/>
      <c r="AK108" s="22793"/>
      <c r="AL108" s="22794"/>
      <c r="AM108" s="22795"/>
      <c r="AN108" s="22796"/>
      <c r="AO108" s="22797"/>
      <c r="AP108" s="22798"/>
      <c r="AQ108" s="22799"/>
      <c r="AR108" s="22800"/>
      <c r="AS108" s="22801"/>
      <c r="AT108" s="22802"/>
      <c r="AU108" s="22803"/>
      <c r="AV108" s="22804"/>
      <c r="AW108" s="22805"/>
      <c r="AX108" s="22806"/>
      <c r="AY108" s="22807"/>
      <c r="AZ108" s="22808"/>
      <c r="BA108" s="22809"/>
      <c r="BB108" s="22810"/>
      <c r="BC108" s="22811"/>
      <c r="BD108" s="22812"/>
      <c r="BE108" s="22813"/>
      <c r="BF108" s="22814"/>
      <c r="BG108" s="22815"/>
      <c r="BH108" s="22816"/>
      <c r="BI108" s="22817"/>
      <c r="BJ108" s="22818"/>
      <c r="BK108" s="22819"/>
      <c r="BL108" s="22820"/>
      <c r="BM108" s="22821"/>
      <c r="BN108" s="22822"/>
      <c r="BO108" s="22823"/>
      <c r="BP108" s="22824"/>
      <c r="BQ108" s="22825"/>
      <c r="BR108" s="22826"/>
      <c r="BS108" s="22827"/>
      <c r="BT108" s="22828"/>
      <c r="BU108" s="22829"/>
      <c r="BV108" s="22830"/>
      <c r="BW108" s="22831"/>
      <c r="BX108" s="22832"/>
      <c r="BY108" s="22833"/>
      <c r="BZ108" s="22834"/>
      <c r="CA108" s="22835"/>
      <c r="CB108" s="22836"/>
      <c r="CC108" s="22837"/>
      <c r="CD108" s="22838"/>
      <c r="CE108" s="22839"/>
      <c r="CF108" s="22840"/>
      <c r="CG108" s="22841"/>
      <c r="CH108" s="22842"/>
      <c r="CI108" s="22843"/>
      <c r="CJ108" s="22844"/>
      <c r="CK108" s="22845"/>
      <c r="CL108" s="22846"/>
      <c r="CM108" s="22847"/>
      <c r="CN108" s="22848"/>
      <c r="CO108" s="22849"/>
      <c r="CP108" s="22850"/>
      <c r="CQ108" s="22851"/>
      <c r="CR108" s="22852"/>
      <c r="CS108" s="22853"/>
      <c r="CT108" s="22854"/>
      <c r="CU108" s="22855"/>
      <c r="CV108" s="21632" t="s">
        <v>623</v>
      </c>
      <c r="CW108" s="21281"/>
      <c r="CX108" s="21633"/>
      <c r="CY108" s="21633" t="str">
        <f>IF(T108="","",T108)</f>
        <v>Добавить значение признака дифференциации</v>
      </c>
      <c r="CZ108" s="21633"/>
      <c r="DA108" s="21633"/>
      <c r="DB108" s="21020">
        <v>0</v>
      </c>
    </row>
    <row s="53830" customFormat="1" customHeight="1" ht="21">
      <c r="A109" s="21621"/>
      <c r="B109" s="21621"/>
      <c r="C109" s="21621"/>
      <c r="D109" s="21621"/>
      <c r="E109" s="21622"/>
      <c r="F109" s="21622" t="s">
        <v>93</v>
      </c>
      <c r="G109" s="21622"/>
      <c r="H109" s="21622"/>
      <c r="I109" s="21638"/>
      <c r="J109" s="21621"/>
      <c r="K109" s="21621"/>
      <c r="L109" s="21624"/>
      <c r="M109" s="21639"/>
      <c r="N109" s="21639"/>
      <c r="O109" s="21639"/>
      <c r="P109" s="21640"/>
      <c r="Q109" s="21640"/>
      <c r="R109" s="21641"/>
      <c r="S109" s="22857"/>
      <c r="T109" s="22858" t="s">
        <v>551</v>
      </c>
      <c r="U109" s="22859"/>
      <c r="V109" s="22860"/>
      <c r="W109" s="22861"/>
      <c r="X109" s="22862"/>
      <c r="Y109" s="22863"/>
      <c r="Z109" s="22864"/>
      <c r="AA109" s="22865"/>
      <c r="AB109" s="22866"/>
      <c r="AC109" s="22867"/>
      <c r="AD109" s="22868"/>
      <c r="AE109" s="22869"/>
      <c r="AF109" s="22870"/>
      <c r="AG109" s="22871"/>
      <c r="AH109" s="22872"/>
      <c r="AI109" s="22873"/>
      <c r="AJ109" s="22874"/>
      <c r="AK109" s="22875"/>
      <c r="AL109" s="22876"/>
      <c r="AM109" s="22877"/>
      <c r="AN109" s="22878"/>
      <c r="AO109" s="22879"/>
      <c r="AP109" s="22880"/>
      <c r="AQ109" s="22881"/>
      <c r="AR109" s="22882"/>
      <c r="AS109" s="22883"/>
      <c r="AT109" s="22884"/>
      <c r="AU109" s="22885"/>
      <c r="AV109" s="22886"/>
      <c r="AW109" s="22887"/>
      <c r="AX109" s="22888"/>
      <c r="AY109" s="22889"/>
      <c r="AZ109" s="22890"/>
      <c r="BA109" s="22891"/>
      <c r="BB109" s="22892"/>
      <c r="BC109" s="22893"/>
      <c r="BD109" s="22894"/>
      <c r="BE109" s="22895"/>
      <c r="BF109" s="22896"/>
      <c r="BG109" s="22897"/>
      <c r="BH109" s="22898"/>
      <c r="BI109" s="22899"/>
      <c r="BJ109" s="22900"/>
      <c r="BK109" s="22901"/>
      <c r="BL109" s="22902"/>
      <c r="BM109" s="22903"/>
      <c r="BN109" s="22904"/>
      <c r="BO109" s="22905"/>
      <c r="BP109" s="22906"/>
      <c r="BQ109" s="22907"/>
      <c r="BR109" s="22908"/>
      <c r="BS109" s="22909"/>
      <c r="BT109" s="22910"/>
      <c r="BU109" s="22911"/>
      <c r="BV109" s="22912"/>
      <c r="BW109" s="22913"/>
      <c r="BX109" s="22914"/>
      <c r="BY109" s="22915"/>
      <c r="BZ109" s="22916"/>
      <c r="CA109" s="22917"/>
      <c r="CB109" s="22918"/>
      <c r="CC109" s="22919"/>
      <c r="CD109" s="22920"/>
      <c r="CE109" s="22921"/>
      <c r="CF109" s="22922"/>
      <c r="CG109" s="22923"/>
      <c r="CH109" s="22924"/>
      <c r="CI109" s="22925"/>
      <c r="CJ109" s="22926"/>
      <c r="CK109" s="22927"/>
      <c r="CL109" s="22928"/>
      <c r="CM109" s="22929"/>
      <c r="CN109" s="22930"/>
      <c r="CO109" s="22931"/>
      <c r="CP109" s="22932"/>
      <c r="CQ109" s="22933"/>
      <c r="CR109" s="22934"/>
      <c r="CS109" s="22935"/>
      <c r="CT109" s="22936"/>
      <c r="CU109" s="22937"/>
      <c r="CV109" s="22938"/>
      <c r="CW109" s="21281"/>
      <c r="CX109" s="21633"/>
      <c r="CY109" s="21633" t="str">
        <f>IF(T109="","",T109)</f>
        <v>Добавить группу потребителей</v>
      </c>
      <c r="CZ109" s="21633"/>
      <c r="DA109" s="21633"/>
      <c r="DB109" s="21020">
        <v>0</v>
      </c>
    </row>
    <row s="53913" customFormat="1" customHeight="1" ht="14.25">
      <c r="A110" s="21621"/>
      <c r="B110" s="21621"/>
      <c r="C110" s="21621"/>
      <c r="D110" s="21621"/>
      <c r="E110" s="21622"/>
      <c r="F110" s="21622" t="s">
        <v>93</v>
      </c>
      <c r="G110" s="21622"/>
      <c r="H110" s="21623"/>
      <c r="I110" s="21621"/>
      <c r="J110" s="21621"/>
      <c r="K110" s="21621"/>
      <c r="L110" s="21624"/>
      <c r="M110" s="21625"/>
      <c r="N110" s="21625"/>
      <c r="O110" s="21264"/>
      <c r="P110" s="21910"/>
      <c r="Q110" s="21911"/>
      <c r="R110" s="21912"/>
      <c r="S110" s="22940"/>
      <c r="T110" s="22941" t="s">
        <v>624</v>
      </c>
      <c r="U110" s="22942"/>
      <c r="V110" s="22943"/>
      <c r="W110" s="22944"/>
      <c r="X110" s="22945"/>
      <c r="Y110" s="22946"/>
      <c r="Z110" s="22947"/>
      <c r="AA110" s="22948"/>
      <c r="AB110" s="22949"/>
      <c r="AC110" s="22950"/>
      <c r="AD110" s="22951"/>
      <c r="AE110" s="22952"/>
      <c r="AF110" s="22953"/>
      <c r="AG110" s="22954"/>
      <c r="AH110" s="22955"/>
      <c r="AI110" s="22956"/>
      <c r="AJ110" s="22957"/>
      <c r="AK110" s="22958"/>
      <c r="AL110" s="22959"/>
      <c r="AM110" s="22960"/>
      <c r="AN110" s="22961"/>
      <c r="AO110" s="22962"/>
      <c r="AP110" s="22963"/>
      <c r="AQ110" s="22964"/>
      <c r="AR110" s="22965"/>
      <c r="AS110" s="22966"/>
      <c r="AT110" s="22967"/>
      <c r="AU110" s="22968"/>
      <c r="AV110" s="22969"/>
      <c r="AW110" s="22970"/>
      <c r="AX110" s="22971"/>
      <c r="AY110" s="22972"/>
      <c r="AZ110" s="22973"/>
      <c r="BA110" s="22974"/>
      <c r="BB110" s="22975"/>
      <c r="BC110" s="22976"/>
      <c r="BD110" s="22977"/>
      <c r="BE110" s="22978"/>
      <c r="BF110" s="22979"/>
      <c r="BG110" s="22980"/>
      <c r="BH110" s="22981"/>
      <c r="BI110" s="22982"/>
      <c r="BJ110" s="22983"/>
      <c r="BK110" s="22984"/>
      <c r="BL110" s="22985"/>
      <c r="BM110" s="22986"/>
      <c r="BN110" s="22987"/>
      <c r="BO110" s="22988"/>
      <c r="BP110" s="22989"/>
      <c r="BQ110" s="22990"/>
      <c r="BR110" s="22991"/>
      <c r="BS110" s="22992"/>
      <c r="BT110" s="22993"/>
      <c r="BU110" s="22994"/>
      <c r="BV110" s="22995"/>
      <c r="BW110" s="22996"/>
      <c r="BX110" s="22997"/>
      <c r="BY110" s="22998"/>
      <c r="BZ110" s="22999"/>
      <c r="CA110" s="23000"/>
      <c r="CB110" s="23001"/>
      <c r="CC110" s="23002"/>
      <c r="CD110" s="23003"/>
      <c r="CE110" s="23004"/>
      <c r="CF110" s="23005"/>
      <c r="CG110" s="23006"/>
      <c r="CH110" s="23007"/>
      <c r="CI110" s="23008"/>
      <c r="CJ110" s="23009"/>
      <c r="CK110" s="23010"/>
      <c r="CL110" s="23011"/>
      <c r="CM110" s="23012"/>
      <c r="CN110" s="23013"/>
      <c r="CO110" s="23014"/>
      <c r="CP110" s="23015"/>
      <c r="CQ110" s="23016"/>
      <c r="CR110" s="23017"/>
      <c r="CS110" s="23018"/>
      <c r="CT110" s="23019"/>
      <c r="CU110" s="23020"/>
      <c r="CV110" s="23021"/>
      <c r="CW110" s="21281"/>
      <c r="CX110" s="21633"/>
      <c r="CY110" s="21633" t="str">
        <f>IF(T110="","",T110)</f>
        <v>Добавить наименование признака дифференциации</v>
      </c>
      <c r="CZ110" s="21633"/>
      <c r="DA110" s="21633"/>
      <c r="DB110" s="21020">
        <v>0</v>
      </c>
    </row>
    <row s="53996" customFormat="1" customHeight="1" ht="23.25">
      <c r="A111" s="21621"/>
      <c r="B111" s="21621"/>
      <c r="C111" s="21621" t="s">
        <v>308</v>
      </c>
      <c r="D111" s="21621"/>
      <c r="E111" s="21622"/>
      <c r="F111" s="21622"/>
      <c r="G111" s="21623" t="s">
        <v>105</v>
      </c>
      <c r="H111" s="21621"/>
      <c r="I111" s="21621"/>
      <c r="J111" s="21621"/>
      <c r="K111" s="21621"/>
      <c r="L111" s="21624"/>
      <c r="M111" s="21625"/>
      <c r="N111" s="21625"/>
      <c r="O111" s="21625"/>
      <c r="P111" s="21635"/>
      <c r="Q111" s="21627"/>
      <c r="R111" s="21628"/>
      <c r="S111" s="21629" t="str">
        <f>INDEX(PT_DIFFERENTIATION_NUM_CS,MATCH(C111,PT_DIFFERENTIATION_CS_ID,0))</f>
        <v>1.5.2</v>
      </c>
      <c r="T111" s="21636" t="s">
        <v>617</v>
      </c>
      <c r="U111" s="21631"/>
      <c r="V111" s="21025"/>
      <c r="W111" s="21026"/>
      <c r="X111" s="21026"/>
      <c r="Y111" s="21026"/>
      <c r="Z111" s="21026"/>
      <c r="AA111" s="21026"/>
      <c r="AB111" s="21027"/>
      <c r="AC111" s="21025" t="str">
        <f>INDEX(PT_DIFFERENTIATION_CS,MATCH(C111,PT_DIFFERENTIATION_CS_ID,0))</f>
        <v>пгт. Краскино</v>
      </c>
      <c r="AD111" s="21026"/>
      <c r="AE111" s="21026"/>
      <c r="AF111" s="21026"/>
      <c r="AG111" s="21026"/>
      <c r="AH111" s="21026"/>
      <c r="AI111" s="21026"/>
      <c r="AJ111" s="21025"/>
      <c r="AK111" s="21026"/>
      <c r="AL111" s="21026"/>
      <c r="AM111" s="21026"/>
      <c r="AN111" s="21026"/>
      <c r="AO111" s="21026"/>
      <c r="AP111" s="21027"/>
      <c r="AQ111" s="21025"/>
      <c r="AR111" s="21026"/>
      <c r="AS111" s="21026"/>
      <c r="AT111" s="21026"/>
      <c r="AU111" s="21026"/>
      <c r="AV111" s="21026"/>
      <c r="AW111" s="21027"/>
      <c r="AX111" s="21025"/>
      <c r="AY111" s="21026"/>
      <c r="AZ111" s="21026"/>
      <c r="BA111" s="21026"/>
      <c r="BB111" s="21026"/>
      <c r="BC111" s="21026"/>
      <c r="BD111" s="21027"/>
      <c r="BE111" s="21025"/>
      <c r="BF111" s="21026"/>
      <c r="BG111" s="21026"/>
      <c r="BH111" s="21026"/>
      <c r="BI111" s="21026"/>
      <c r="BJ111" s="21026"/>
      <c r="BK111" s="21027"/>
      <c r="BL111" s="21025"/>
      <c r="BM111" s="21026"/>
      <c r="BN111" s="21026"/>
      <c r="BO111" s="21026"/>
      <c r="BP111" s="21026"/>
      <c r="BQ111" s="21026"/>
      <c r="BR111" s="21027"/>
      <c r="BS111" s="21025"/>
      <c r="BT111" s="21026"/>
      <c r="BU111" s="21026"/>
      <c r="BV111" s="21026"/>
      <c r="BW111" s="21026"/>
      <c r="BX111" s="21026"/>
      <c r="BY111" s="21027"/>
      <c r="BZ111" s="21025"/>
      <c r="CA111" s="21026"/>
      <c r="CB111" s="21026"/>
      <c r="CC111" s="21026"/>
      <c r="CD111" s="21026"/>
      <c r="CE111" s="21026"/>
      <c r="CF111" s="21027"/>
      <c r="CG111" s="21025"/>
      <c r="CH111" s="21026"/>
      <c r="CI111" s="21026"/>
      <c r="CJ111" s="21026"/>
      <c r="CK111" s="21026"/>
      <c r="CL111" s="21026"/>
      <c r="CM111" s="21027"/>
      <c r="CN111" s="21025"/>
      <c r="CO111" s="21026"/>
      <c r="CP111" s="21026"/>
      <c r="CQ111" s="21026"/>
      <c r="CR111" s="21026"/>
      <c r="CS111" s="21026"/>
      <c r="CT111" s="21027"/>
      <c r="CU111" s="21027"/>
      <c r="CV111" s="21632" t="s">
        <v>618</v>
      </c>
      <c r="CW111" s="21281"/>
      <c r="CX111" s="21633"/>
      <c r="CY111" s="21633" t="str">
        <f>IF(T111="","",T111)</f>
        <v>Наименование централизованной системы холодного водоснабжения</v>
      </c>
      <c r="CZ111" s="21633"/>
      <c r="DA111" s="21633"/>
      <c r="DB111" s="21020">
        <v>0</v>
      </c>
    </row>
    <row s="53997" customFormat="1" customHeight="1" ht="23.25">
      <c r="A112" s="21621"/>
      <c r="B112" s="21621"/>
      <c r="C112" s="21621"/>
      <c r="D112" s="21621"/>
      <c r="E112" s="21622"/>
      <c r="F112" s="21622"/>
      <c r="G112" s="21622">
        <v>1</v>
      </c>
      <c r="H112" s="21622"/>
      <c r="I112" s="21638" t="str">
        <f>S111&amp;".1"</f>
        <v>1.5.2.1</v>
      </c>
      <c r="J112" s="21621"/>
      <c r="K112" s="21621"/>
      <c r="L112" s="21624"/>
      <c r="M112" s="21639"/>
      <c r="N112" s="21639"/>
      <c r="O112" s="21639"/>
      <c r="P112" s="21640">
        <v>1</v>
      </c>
      <c r="Q112" s="21640"/>
      <c r="R112" s="21641"/>
      <c r="S112" s="21629" t="str">
        <f>$I112</f>
        <v>1.5.2.1</v>
      </c>
      <c r="T112" s="21642" t="s">
        <v>619</v>
      </c>
      <c r="U112" s="21631"/>
      <c r="V112" s="21038"/>
      <c r="W112" s="21039"/>
      <c r="X112" s="21039"/>
      <c r="Y112" s="21039"/>
      <c r="Z112" s="21039"/>
      <c r="AA112" s="21039"/>
      <c r="AB112" s="21040"/>
      <c r="AC112" s="21643"/>
      <c r="AD112" s="21644"/>
      <c r="AE112" s="21644"/>
      <c r="AF112" s="21644"/>
      <c r="AG112" s="21644"/>
      <c r="AH112" s="21644"/>
      <c r="AI112" s="21644"/>
      <c r="AJ112" s="21038"/>
      <c r="AK112" s="21039"/>
      <c r="AL112" s="21039"/>
      <c r="AM112" s="21039"/>
      <c r="AN112" s="21039"/>
      <c r="AO112" s="21039"/>
      <c r="AP112" s="21040"/>
      <c r="AQ112" s="21038"/>
      <c r="AR112" s="21039"/>
      <c r="AS112" s="21039"/>
      <c r="AT112" s="21039"/>
      <c r="AU112" s="21039"/>
      <c r="AV112" s="21039"/>
      <c r="AW112" s="21040"/>
      <c r="AX112" s="21038"/>
      <c r="AY112" s="21039"/>
      <c r="AZ112" s="21039"/>
      <c r="BA112" s="21039"/>
      <c r="BB112" s="21039"/>
      <c r="BC112" s="21039"/>
      <c r="BD112" s="21040"/>
      <c r="BE112" s="21038"/>
      <c r="BF112" s="21039"/>
      <c r="BG112" s="21039"/>
      <c r="BH112" s="21039"/>
      <c r="BI112" s="21039"/>
      <c r="BJ112" s="21039"/>
      <c r="BK112" s="21040"/>
      <c r="BL112" s="21038"/>
      <c r="BM112" s="21039"/>
      <c r="BN112" s="21039"/>
      <c r="BO112" s="21039"/>
      <c r="BP112" s="21039"/>
      <c r="BQ112" s="21039"/>
      <c r="BR112" s="21040"/>
      <c r="BS112" s="21038"/>
      <c r="BT112" s="21039"/>
      <c r="BU112" s="21039"/>
      <c r="BV112" s="21039"/>
      <c r="BW112" s="21039"/>
      <c r="BX112" s="21039"/>
      <c r="BY112" s="21040"/>
      <c r="BZ112" s="21038"/>
      <c r="CA112" s="21039"/>
      <c r="CB112" s="21039"/>
      <c r="CC112" s="21039"/>
      <c r="CD112" s="21039"/>
      <c r="CE112" s="21039"/>
      <c r="CF112" s="21040"/>
      <c r="CG112" s="21038"/>
      <c r="CH112" s="21039"/>
      <c r="CI112" s="21039"/>
      <c r="CJ112" s="21039"/>
      <c r="CK112" s="21039"/>
      <c r="CL112" s="21039"/>
      <c r="CM112" s="21040"/>
      <c r="CN112" s="21038"/>
      <c r="CO112" s="21039"/>
      <c r="CP112" s="21039"/>
      <c r="CQ112" s="21039"/>
      <c r="CR112" s="21039"/>
      <c r="CS112" s="21039"/>
      <c r="CT112" s="21040"/>
      <c r="CU112" s="21645"/>
      <c r="CV112" s="21632" t="s">
        <v>620</v>
      </c>
      <c r="CW112" s="21281"/>
      <c r="CX112" s="21633"/>
      <c r="CY112" s="21633" t="str">
        <f>IF(T112="","",T112)</f>
        <v>Наименование признака дифференциации</v>
      </c>
      <c r="CZ112" s="21633"/>
      <c r="DA112" s="21633"/>
      <c r="DB112" s="21020">
        <v>0</v>
      </c>
    </row>
    <row s="53998" customFormat="1" customHeight="1" ht="23.25">
      <c r="A113" s="21621"/>
      <c r="B113" s="21621"/>
      <c r="C113" s="21621"/>
      <c r="D113" s="21621"/>
      <c r="E113" s="21622"/>
      <c r="F113" s="21622"/>
      <c r="G113" s="21622">
        <v>1</v>
      </c>
      <c r="H113" s="21622"/>
      <c r="I113" s="21647"/>
      <c r="J113" s="21638" t="str">
        <f>I112&amp;".1"</f>
        <v>1.5.2.1.1</v>
      </c>
      <c r="K113" s="21621"/>
      <c r="L113" s="21624" t="s">
        <v>545</v>
      </c>
      <c r="M113" s="21639"/>
      <c r="N113" s="21639"/>
      <c r="O113" s="21639"/>
      <c r="P113" s="21640"/>
      <c r="Q113" s="21640">
        <v>1</v>
      </c>
      <c r="R113" s="21648"/>
      <c r="S113" s="21629" t="str">
        <f>$J113</f>
        <v>1.5.2.1.1</v>
      </c>
      <c r="T113" s="21649" t="s">
        <v>546</v>
      </c>
      <c r="U113" s="21631"/>
      <c r="V113" s="21045"/>
      <c r="W113" s="21046"/>
      <c r="X113" s="21046"/>
      <c r="Y113" s="21046"/>
      <c r="Z113" s="21046"/>
      <c r="AA113" s="21046"/>
      <c r="AB113" s="21047"/>
      <c r="AC113" s="21045" t="s">
        <v>632</v>
      </c>
      <c r="AD113" s="21046"/>
      <c r="AE113" s="21046"/>
      <c r="AF113" s="21046"/>
      <c r="AG113" s="21046"/>
      <c r="AH113" s="21046"/>
      <c r="AI113" s="21046"/>
      <c r="AJ113" s="21045"/>
      <c r="AK113" s="21046"/>
      <c r="AL113" s="21046"/>
      <c r="AM113" s="21046"/>
      <c r="AN113" s="21046"/>
      <c r="AO113" s="21046"/>
      <c r="AP113" s="21047"/>
      <c r="AQ113" s="21045"/>
      <c r="AR113" s="21046"/>
      <c r="AS113" s="21046"/>
      <c r="AT113" s="21046"/>
      <c r="AU113" s="21046"/>
      <c r="AV113" s="21046"/>
      <c r="AW113" s="21047"/>
      <c r="AX113" s="21045"/>
      <c r="AY113" s="21046"/>
      <c r="AZ113" s="21046"/>
      <c r="BA113" s="21046"/>
      <c r="BB113" s="21046"/>
      <c r="BC113" s="21046"/>
      <c r="BD113" s="21047"/>
      <c r="BE113" s="21045"/>
      <c r="BF113" s="21046"/>
      <c r="BG113" s="21046"/>
      <c r="BH113" s="21046"/>
      <c r="BI113" s="21046"/>
      <c r="BJ113" s="21046"/>
      <c r="BK113" s="21047"/>
      <c r="BL113" s="21045"/>
      <c r="BM113" s="21046"/>
      <c r="BN113" s="21046"/>
      <c r="BO113" s="21046"/>
      <c r="BP113" s="21046"/>
      <c r="BQ113" s="21046"/>
      <c r="BR113" s="21047"/>
      <c r="BS113" s="21045"/>
      <c r="BT113" s="21046"/>
      <c r="BU113" s="21046"/>
      <c r="BV113" s="21046"/>
      <c r="BW113" s="21046"/>
      <c r="BX113" s="21046"/>
      <c r="BY113" s="21047"/>
      <c r="BZ113" s="21045"/>
      <c r="CA113" s="21046"/>
      <c r="CB113" s="21046"/>
      <c r="CC113" s="21046"/>
      <c r="CD113" s="21046"/>
      <c r="CE113" s="21046"/>
      <c r="CF113" s="21047"/>
      <c r="CG113" s="21045"/>
      <c r="CH113" s="21046"/>
      <c r="CI113" s="21046"/>
      <c r="CJ113" s="21046"/>
      <c r="CK113" s="21046"/>
      <c r="CL113" s="21046"/>
      <c r="CM113" s="21047"/>
      <c r="CN113" s="21045"/>
      <c r="CO113" s="21046"/>
      <c r="CP113" s="21046"/>
      <c r="CQ113" s="21046"/>
      <c r="CR113" s="21046"/>
      <c r="CS113" s="21046"/>
      <c r="CT113" s="21047"/>
      <c r="CU113" s="21047"/>
      <c r="CV113" s="21650" t="s">
        <v>621</v>
      </c>
      <c r="CW113" s="21281"/>
      <c r="CX113" s="21633"/>
      <c r="CY113" s="21633" t="str">
        <f>IF(T113="","",T113)</f>
        <v>Группа потребителей</v>
      </c>
      <c r="CZ113" s="21633"/>
      <c r="DA113" s="21633"/>
      <c r="DB113" s="21020">
        <v>0</v>
      </c>
    </row>
    <row s="53999" customFormat="1" customHeight="1" ht="23.25">
      <c r="A114" s="21621"/>
      <c r="B114" s="21621"/>
      <c r="C114" s="21621"/>
      <c r="D114" s="21621"/>
      <c r="E114" s="21622"/>
      <c r="F114" s="21622"/>
      <c r="G114" s="21622">
        <v>1</v>
      </c>
      <c r="H114" s="21622"/>
      <c r="I114" s="21647"/>
      <c r="J114" s="21647"/>
      <c r="K114" s="21638" t="str">
        <f>J113&amp;".1"</f>
        <v>1.5.2.1.1.1</v>
      </c>
      <c r="L114" s="21624"/>
      <c r="M114" s="21639"/>
      <c r="N114" s="21639"/>
      <c r="O114" s="21639"/>
      <c r="P114" s="21640"/>
      <c r="Q114" s="21640"/>
      <c r="R114" s="21648">
        <v>1</v>
      </c>
      <c r="S114" s="21629" t="str">
        <f>$K114</f>
        <v>1.5.2.1.1.1</v>
      </c>
      <c r="T114" s="21652"/>
      <c r="U114" s="21631"/>
      <c r="V114" s="21053"/>
      <c r="W114" s="21053"/>
      <c r="X114" s="21054"/>
      <c r="Y114" s="21055"/>
      <c r="Z114" s="21056" t="s">
        <v>63</v>
      </c>
      <c r="AA114" s="21055"/>
      <c r="AB114" s="21056" t="s">
        <v>63</v>
      </c>
      <c r="AC114" s="21053">
        <v>21.06</v>
      </c>
      <c r="AD114" s="21053"/>
      <c r="AE114" s="21054"/>
      <c r="AF114" s="21055">
        <v>45292.59168981481</v>
      </c>
      <c r="AG114" s="21056" t="s">
        <v>63</v>
      </c>
      <c r="AH114" s="21321">
        <v>45473.59190972222</v>
      </c>
      <c r="AI114" s="21056" t="s">
        <v>63</v>
      </c>
      <c r="AJ114" s="21053">
        <v>27.37</v>
      </c>
      <c r="AK114" s="21053"/>
      <c r="AL114" s="21054"/>
      <c r="AM114" s="21055">
        <v>45474.59233796296</v>
      </c>
      <c r="AN114" s="21056" t="s">
        <v>63</v>
      </c>
      <c r="AO114" s="21055">
        <v>45657.5925462963</v>
      </c>
      <c r="AP114" s="21056" t="s">
        <v>63</v>
      </c>
      <c r="AQ114" s="21053">
        <v>27.37</v>
      </c>
      <c r="AR114" s="21053"/>
      <c r="AS114" s="21054"/>
      <c r="AT114" s="21055">
        <v>45658.59295138889</v>
      </c>
      <c r="AU114" s="21056" t="s">
        <v>63</v>
      </c>
      <c r="AV114" s="21055">
        <v>45838.59318287037</v>
      </c>
      <c r="AW114" s="21056" t="s">
        <v>63</v>
      </c>
      <c r="AX114" s="21053">
        <v>32.3</v>
      </c>
      <c r="AY114" s="21053"/>
      <c r="AZ114" s="21054"/>
      <c r="BA114" s="21055">
        <v>45839.59380787037</v>
      </c>
      <c r="BB114" s="21056" t="s">
        <v>63</v>
      </c>
      <c r="BC114" s="21055">
        <v>46022.594039351854</v>
      </c>
      <c r="BD114" s="21056" t="s">
        <v>63</v>
      </c>
      <c r="BE114" s="21053">
        <v>31.31</v>
      </c>
      <c r="BF114" s="21053"/>
      <c r="BG114" s="21054"/>
      <c r="BH114" s="21055">
        <v>46023.59502314815</v>
      </c>
      <c r="BI114" s="21056" t="s">
        <v>63</v>
      </c>
      <c r="BJ114" s="21055">
        <v>46203.59559027778</v>
      </c>
      <c r="BK114" s="21056" t="s">
        <v>63</v>
      </c>
      <c r="BL114" s="21053">
        <v>31.31</v>
      </c>
      <c r="BM114" s="21053"/>
      <c r="BN114" s="21054"/>
      <c r="BO114" s="21055">
        <v>46204.59678240741</v>
      </c>
      <c r="BP114" s="21056" t="s">
        <v>63</v>
      </c>
      <c r="BQ114" s="21055">
        <v>46387.596967592595</v>
      </c>
      <c r="BR114" s="21056" t="s">
        <v>63</v>
      </c>
      <c r="BS114" s="21053">
        <v>30.6</v>
      </c>
      <c r="BT114" s="21053"/>
      <c r="BU114" s="21054"/>
      <c r="BV114" s="21055">
        <v>46388.59821759259</v>
      </c>
      <c r="BW114" s="21056" t="s">
        <v>63</v>
      </c>
      <c r="BX114" s="21055">
        <v>46568.59853009259</v>
      </c>
      <c r="BY114" s="21056" t="s">
        <v>63</v>
      </c>
      <c r="BZ114" s="21053">
        <v>30.6</v>
      </c>
      <c r="CA114" s="21053"/>
      <c r="CB114" s="21054"/>
      <c r="CC114" s="21055">
        <v>46569.5996875</v>
      </c>
      <c r="CD114" s="21056" t="s">
        <v>63</v>
      </c>
      <c r="CE114" s="21055">
        <v>46752.600856481484</v>
      </c>
      <c r="CF114" s="21056" t="s">
        <v>63</v>
      </c>
      <c r="CG114" s="21053">
        <v>30.6</v>
      </c>
      <c r="CH114" s="21053"/>
      <c r="CI114" s="21054"/>
      <c r="CJ114" s="21055">
        <v>46753.60192129629</v>
      </c>
      <c r="CK114" s="21056" t="s">
        <v>63</v>
      </c>
      <c r="CL114" s="21055">
        <v>46934.602106481485</v>
      </c>
      <c r="CM114" s="21056" t="s">
        <v>63</v>
      </c>
      <c r="CN114" s="21053">
        <v>32.65</v>
      </c>
      <c r="CO114" s="21053"/>
      <c r="CP114" s="21054"/>
      <c r="CQ114" s="21055">
        <v>46935.60293981482</v>
      </c>
      <c r="CR114" s="21056" t="s">
        <v>63</v>
      </c>
      <c r="CS114" s="21055">
        <v>47118.603217592594</v>
      </c>
      <c r="CT114" s="21056" t="s">
        <v>63</v>
      </c>
      <c r="CU114" s="21653"/>
      <c r="CV11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4" s="21281">
        <f>STRCHECKDATE(V115:CU115)</f>
      </c>
      <c r="CX114" s="21633"/>
      <c r="CY114" s="21633" t="str">
        <f>IF(T114="","",T114)</f>
        <v/>
      </c>
      <c r="CZ114" s="21633"/>
      <c r="DA114" s="21633"/>
      <c r="DB114" s="21020">
        <v>0</v>
      </c>
    </row>
    <row s="54000" customFormat="1" customHeight="1" ht="14.25">
      <c r="A115" s="21621"/>
      <c r="B115" s="21621"/>
      <c r="C115" s="21621"/>
      <c r="D115" s="21621"/>
      <c r="E115" s="21622"/>
      <c r="F115" s="21622"/>
      <c r="G115" s="21622">
        <v>1</v>
      </c>
      <c r="H115" s="21622"/>
      <c r="I115" s="21647"/>
      <c r="J115" s="21647"/>
      <c r="K115" s="21638"/>
      <c r="L115" s="21624"/>
      <c r="M115" s="21639"/>
      <c r="N115" s="21639"/>
      <c r="O115" s="21639"/>
      <c r="P115" s="21640"/>
      <c r="Q115" s="21640"/>
      <c r="R115" s="21648"/>
      <c r="S115" s="21656"/>
      <c r="T115" s="21631"/>
      <c r="U115" s="21631"/>
      <c r="V115" s="21063"/>
      <c r="W115" s="21063"/>
      <c r="X115" s="21064" t="str">
        <f>Y114&amp;"-"&amp;AA114</f>
        <v>-</v>
      </c>
      <c r="Y115" s="21065"/>
      <c r="Z115" s="21056"/>
      <c r="AA115" s="21065"/>
      <c r="AB115" s="21056"/>
      <c r="AC115" s="21063"/>
      <c r="AD115" s="21063"/>
      <c r="AE115" s="21064" t="str">
        <f>AF114&amp;"-"&amp;AH114</f>
        <v>45292.59168981481-45473.59190972222</v>
      </c>
      <c r="AF115" s="21065"/>
      <c r="AG115" s="21056"/>
      <c r="AH115" s="21324"/>
      <c r="AI115" s="21056"/>
      <c r="AJ115" s="21063"/>
      <c r="AK115" s="21063"/>
      <c r="AL115" s="21064" t="str">
        <f>AM114&amp;"-"&amp;AO114</f>
        <v>45474.59233796296-45657.5925462963</v>
      </c>
      <c r="AM115" s="21065"/>
      <c r="AN115" s="21056"/>
      <c r="AO115" s="21065"/>
      <c r="AP115" s="21056"/>
      <c r="AQ115" s="21063"/>
      <c r="AR115" s="21063"/>
      <c r="AS115" s="21064" t="str">
        <f>AT114&amp;"-"&amp;AV114</f>
        <v>45658.59295138889-45838.59318287037</v>
      </c>
      <c r="AT115" s="21065"/>
      <c r="AU115" s="21056"/>
      <c r="AV115" s="21065"/>
      <c r="AW115" s="21056"/>
      <c r="AX115" s="21063"/>
      <c r="AY115" s="21063"/>
      <c r="AZ115" s="21064" t="str">
        <f>BA114&amp;"-"&amp;BC114</f>
        <v>45839.59380787037-46022.594039351854</v>
      </c>
      <c r="BA115" s="21065"/>
      <c r="BB115" s="21056"/>
      <c r="BC115" s="21065"/>
      <c r="BD115" s="21056"/>
      <c r="BE115" s="21063"/>
      <c r="BF115" s="21063"/>
      <c r="BG115" s="21064" t="str">
        <f>BH114&amp;"-"&amp;BJ114</f>
        <v>46023.59502314815-46203.59559027778</v>
      </c>
      <c r="BH115" s="21065"/>
      <c r="BI115" s="21056"/>
      <c r="BJ115" s="21065"/>
      <c r="BK115" s="21056"/>
      <c r="BL115" s="21063"/>
      <c r="BM115" s="21063"/>
      <c r="BN115" s="21064" t="str">
        <f>BO114&amp;"-"&amp;BQ114</f>
        <v>46204.59678240741-46387.596967592595</v>
      </c>
      <c r="BO115" s="21065"/>
      <c r="BP115" s="21056"/>
      <c r="BQ115" s="21065"/>
      <c r="BR115" s="21056"/>
      <c r="BS115" s="21063"/>
      <c r="BT115" s="21063"/>
      <c r="BU115" s="21064" t="str">
        <f>BV114&amp;"-"&amp;BX114</f>
        <v>46388.59821759259-46568.59853009259</v>
      </c>
      <c r="BV115" s="21065"/>
      <c r="BW115" s="21056"/>
      <c r="BX115" s="21065"/>
      <c r="BY115" s="21056"/>
      <c r="BZ115" s="21063"/>
      <c r="CA115" s="21063"/>
      <c r="CB115" s="21064" t="str">
        <f>CC114&amp;"-"&amp;CE114</f>
        <v>46569.5996875-46752.600856481484</v>
      </c>
      <c r="CC115" s="21065"/>
      <c r="CD115" s="21056"/>
      <c r="CE115" s="21065"/>
      <c r="CF115" s="21056"/>
      <c r="CG115" s="21063"/>
      <c r="CH115" s="21063"/>
      <c r="CI115" s="21064" t="str">
        <f>CJ114&amp;"-"&amp;CL114</f>
        <v>46753.60192129629-46934.602106481485</v>
      </c>
      <c r="CJ115" s="21065"/>
      <c r="CK115" s="21056"/>
      <c r="CL115" s="21065"/>
      <c r="CM115" s="21056"/>
      <c r="CN115" s="21063"/>
      <c r="CO115" s="21063"/>
      <c r="CP115" s="21064" t="str">
        <f>CQ114&amp;"-"&amp;CS114</f>
        <v>46935.60293981482-47118.603217592594</v>
      </c>
      <c r="CQ115" s="21065"/>
      <c r="CR115" s="21056"/>
      <c r="CS115" s="21065"/>
      <c r="CT115" s="21056"/>
      <c r="CU115" s="21657"/>
      <c r="CV115" s="21654"/>
      <c r="CW115" s="21281"/>
      <c r="CX115" s="21633"/>
      <c r="CY115" s="21633" t="str">
        <f>IF(T115="","",T115)</f>
        <v/>
      </c>
      <c r="CZ115" s="21633"/>
      <c r="DA115" s="21633"/>
      <c r="DB115" s="21020">
        <v>0</v>
      </c>
    </row>
    <row s="54001" customFormat="1" customHeight="1" ht="21">
      <c r="A116" s="21621"/>
      <c r="B116" s="21621"/>
      <c r="C116" s="21621"/>
      <c r="D116" s="21621"/>
      <c r="E116" s="21622"/>
      <c r="F116" s="21622"/>
      <c r="G116" s="21622">
        <v>1</v>
      </c>
      <c r="H116" s="21622"/>
      <c r="I116" s="21647"/>
      <c r="J116" s="21638"/>
      <c r="K116" s="21621"/>
      <c r="L116" s="21624"/>
      <c r="M116" s="21639"/>
      <c r="N116" s="21639"/>
      <c r="O116" s="21639"/>
      <c r="P116" s="21640"/>
      <c r="Q116" s="21640"/>
      <c r="R116" s="21641"/>
      <c r="S116" s="23028"/>
      <c r="T116" s="23029" t="s">
        <v>622</v>
      </c>
      <c r="U116" s="23030"/>
      <c r="V116" s="23031"/>
      <c r="W116" s="23032"/>
      <c r="X116" s="23033"/>
      <c r="Y116" s="23034"/>
      <c r="Z116" s="23035"/>
      <c r="AA116" s="23036"/>
      <c r="AB116" s="23037"/>
      <c r="AC116" s="23038"/>
      <c r="AD116" s="23039"/>
      <c r="AE116" s="23040"/>
      <c r="AF116" s="23041"/>
      <c r="AG116" s="23042"/>
      <c r="AH116" s="23043"/>
      <c r="AI116" s="23044"/>
      <c r="AJ116" s="23045"/>
      <c r="AK116" s="23046"/>
      <c r="AL116" s="23047"/>
      <c r="AM116" s="23048"/>
      <c r="AN116" s="23049"/>
      <c r="AO116" s="23050"/>
      <c r="AP116" s="23051"/>
      <c r="AQ116" s="23052"/>
      <c r="AR116" s="23053"/>
      <c r="AS116" s="23054"/>
      <c r="AT116" s="23055"/>
      <c r="AU116" s="23056"/>
      <c r="AV116" s="23057"/>
      <c r="AW116" s="23058"/>
      <c r="AX116" s="23059"/>
      <c r="AY116" s="23060"/>
      <c r="AZ116" s="23061"/>
      <c r="BA116" s="23062"/>
      <c r="BB116" s="23063"/>
      <c r="BC116" s="23064"/>
      <c r="BD116" s="23065"/>
      <c r="BE116" s="23066"/>
      <c r="BF116" s="23067"/>
      <c r="BG116" s="23068"/>
      <c r="BH116" s="23069"/>
      <c r="BI116" s="23070"/>
      <c r="BJ116" s="23071"/>
      <c r="BK116" s="23072"/>
      <c r="BL116" s="23073"/>
      <c r="BM116" s="23074"/>
      <c r="BN116" s="23075"/>
      <c r="BO116" s="23076"/>
      <c r="BP116" s="23077"/>
      <c r="BQ116" s="23078"/>
      <c r="BR116" s="23079"/>
      <c r="BS116" s="23080"/>
      <c r="BT116" s="23081"/>
      <c r="BU116" s="23082"/>
      <c r="BV116" s="23083"/>
      <c r="BW116" s="23084"/>
      <c r="BX116" s="23085"/>
      <c r="BY116" s="23086"/>
      <c r="BZ116" s="23087"/>
      <c r="CA116" s="23088"/>
      <c r="CB116" s="23089"/>
      <c r="CC116" s="23090"/>
      <c r="CD116" s="23091"/>
      <c r="CE116" s="23092"/>
      <c r="CF116" s="23093"/>
      <c r="CG116" s="23094"/>
      <c r="CH116" s="23095"/>
      <c r="CI116" s="23096"/>
      <c r="CJ116" s="23097"/>
      <c r="CK116" s="23098"/>
      <c r="CL116" s="23099"/>
      <c r="CM116" s="23100"/>
      <c r="CN116" s="23101"/>
      <c r="CO116" s="23102"/>
      <c r="CP116" s="23103"/>
      <c r="CQ116" s="23104"/>
      <c r="CR116" s="23105"/>
      <c r="CS116" s="23106"/>
      <c r="CT116" s="23107"/>
      <c r="CU116" s="23108"/>
      <c r="CV116" s="21632" t="s">
        <v>623</v>
      </c>
      <c r="CW116" s="21281"/>
      <c r="CX116" s="21633"/>
      <c r="CY116" s="21633" t="str">
        <f>IF(T116="","",T116)</f>
        <v>Добавить значение признака дифференциации</v>
      </c>
      <c r="CZ116" s="21633"/>
      <c r="DA116" s="21633"/>
      <c r="DB116" s="21020">
        <v>0</v>
      </c>
    </row>
    <row s="54083" customFormat="1" customHeight="1" ht="23.25">
      <c r="A117" s="21621"/>
      <c r="B117" s="21621"/>
      <c r="C117" s="21621"/>
      <c r="D117" s="21621"/>
      <c r="E117" s="21622"/>
      <c r="F117" s="21622"/>
      <c r="G117" s="21622"/>
      <c r="H117" s="21622"/>
      <c r="I117" s="21647"/>
      <c r="J117" s="21638" t="str">
        <f>I112&amp;".2"</f>
        <v>1.5.2.1.2</v>
      </c>
      <c r="K117" s="21621"/>
      <c r="L117" s="21624" t="s">
        <v>545</v>
      </c>
      <c r="M117" s="21639"/>
      <c r="N117" s="21639"/>
      <c r="O117" s="21639"/>
      <c r="P117" s="21640"/>
      <c r="Q117" s="21741" t="s">
        <v>106</v>
      </c>
      <c r="R117" s="21648"/>
      <c r="S117" s="21629" t="str">
        <f>$J117</f>
        <v>1.5.2.1.2</v>
      </c>
      <c r="T117" s="21649" t="s">
        <v>546</v>
      </c>
      <c r="U117" s="21631"/>
      <c r="V117" s="21045"/>
      <c r="W117" s="21046"/>
      <c r="X117" s="21046"/>
      <c r="Y117" s="21046"/>
      <c r="Z117" s="21046"/>
      <c r="AA117" s="21046"/>
      <c r="AB117" s="21047"/>
      <c r="AC117" s="21045" t="s">
        <v>633</v>
      </c>
      <c r="AD117" s="21046"/>
      <c r="AE117" s="21046"/>
      <c r="AF117" s="21046"/>
      <c r="AG117" s="21046"/>
      <c r="AH117" s="21046"/>
      <c r="AI117" s="21046"/>
      <c r="AJ117" s="21045"/>
      <c r="AK117" s="21046"/>
      <c r="AL117" s="21046"/>
      <c r="AM117" s="21046"/>
      <c r="AN117" s="21046"/>
      <c r="AO117" s="21046"/>
      <c r="AP117" s="21047"/>
      <c r="AQ117" s="21045"/>
      <c r="AR117" s="21046"/>
      <c r="AS117" s="21046"/>
      <c r="AT117" s="21046"/>
      <c r="AU117" s="21046"/>
      <c r="AV117" s="21046"/>
      <c r="AW117" s="21047"/>
      <c r="AX117" s="21045"/>
      <c r="AY117" s="21046"/>
      <c r="AZ117" s="21046"/>
      <c r="BA117" s="21046"/>
      <c r="BB117" s="21046"/>
      <c r="BC117" s="21046"/>
      <c r="BD117" s="21047"/>
      <c r="BE117" s="21045"/>
      <c r="BF117" s="21046"/>
      <c r="BG117" s="21046"/>
      <c r="BH117" s="21046"/>
      <c r="BI117" s="21046"/>
      <c r="BJ117" s="21046"/>
      <c r="BK117" s="21047"/>
      <c r="BL117" s="21045"/>
      <c r="BM117" s="21046"/>
      <c r="BN117" s="21046"/>
      <c r="BO117" s="21046"/>
      <c r="BP117" s="21046"/>
      <c r="BQ117" s="21046"/>
      <c r="BR117" s="21047"/>
      <c r="BS117" s="21045"/>
      <c r="BT117" s="21046"/>
      <c r="BU117" s="21046"/>
      <c r="BV117" s="21046"/>
      <c r="BW117" s="21046"/>
      <c r="BX117" s="21046"/>
      <c r="BY117" s="21047"/>
      <c r="BZ117" s="21045"/>
      <c r="CA117" s="21046"/>
      <c r="CB117" s="21046"/>
      <c r="CC117" s="21046"/>
      <c r="CD117" s="21046"/>
      <c r="CE117" s="21046"/>
      <c r="CF117" s="21047"/>
      <c r="CG117" s="21045"/>
      <c r="CH117" s="21046"/>
      <c r="CI117" s="21046"/>
      <c r="CJ117" s="21046"/>
      <c r="CK117" s="21046"/>
      <c r="CL117" s="21046"/>
      <c r="CM117" s="21047"/>
      <c r="CN117" s="21045"/>
      <c r="CO117" s="21046"/>
      <c r="CP117" s="21046"/>
      <c r="CQ117" s="21046"/>
      <c r="CR117" s="21046"/>
      <c r="CS117" s="21046"/>
      <c r="CT117" s="21047"/>
      <c r="CU117" s="21047"/>
      <c r="CV117" s="21650" t="s">
        <v>621</v>
      </c>
      <c r="CW117" s="21281"/>
      <c r="CX117" s="21633"/>
      <c r="CY117" s="21633" t="str">
        <f>IF(T117="","",T117)</f>
        <v>Группа потребителей</v>
      </c>
      <c r="CZ117" s="21633"/>
      <c r="DA117" s="21633"/>
      <c r="DB117" s="21020">
        <v>0</v>
      </c>
    </row>
    <row s="54084" customFormat="1" customHeight="1" ht="23.25">
      <c r="A118" s="21621"/>
      <c r="B118" s="21621"/>
      <c r="C118" s="21621"/>
      <c r="D118" s="21621"/>
      <c r="E118" s="21622"/>
      <c r="F118" s="21622"/>
      <c r="G118" s="21622"/>
      <c r="H118" s="21622"/>
      <c r="I118" s="21647"/>
      <c r="J118" s="21647" t="str">
        <f>I112&amp;".1"</f>
        <v>1.5.2.1.1</v>
      </c>
      <c r="K118" s="21638" t="str">
        <f>J117&amp;".1"</f>
        <v>1.5.2.1.2.1</v>
      </c>
      <c r="L118" s="21624"/>
      <c r="M118" s="21639"/>
      <c r="N118" s="21639"/>
      <c r="O118" s="21639"/>
      <c r="P118" s="21640"/>
      <c r="Q118" s="21640"/>
      <c r="R118" s="21648">
        <v>1</v>
      </c>
      <c r="S118" s="21629" t="str">
        <f>$K118</f>
        <v>1.5.2.1.2.1</v>
      </c>
      <c r="T118" s="21652"/>
      <c r="U118" s="21631"/>
      <c r="V118" s="21053"/>
      <c r="W118" s="21053"/>
      <c r="X118" s="21054"/>
      <c r="Y118" s="21055"/>
      <c r="Z118" s="21056" t="s">
        <v>63</v>
      </c>
      <c r="AA118" s="21055"/>
      <c r="AB118" s="21056" t="s">
        <v>63</v>
      </c>
      <c r="AC118" s="21053">
        <v>17.55</v>
      </c>
      <c r="AD118" s="21053"/>
      <c r="AE118" s="21054"/>
      <c r="AF118" s="21055">
        <v>45292.591782407406</v>
      </c>
      <c r="AG118" s="21056" t="s">
        <v>63</v>
      </c>
      <c r="AH118" s="21321">
        <v>45473.592002314814</v>
      </c>
      <c r="AI118" s="21056" t="s">
        <v>63</v>
      </c>
      <c r="AJ118" s="21053">
        <v>22.81</v>
      </c>
      <c r="AK118" s="21053"/>
      <c r="AL118" s="21054"/>
      <c r="AM118" s="21055">
        <v>45474.59247685185</v>
      </c>
      <c r="AN118" s="21056" t="s">
        <v>63</v>
      </c>
      <c r="AO118" s="21055">
        <v>45657.59263888889</v>
      </c>
      <c r="AP118" s="21056" t="s">
        <v>63</v>
      </c>
      <c r="AQ118" s="21053">
        <v>22.81</v>
      </c>
      <c r="AR118" s="21053"/>
      <c r="AS118" s="21054"/>
      <c r="AT118" s="21055">
        <v>45658.59306712963</v>
      </c>
      <c r="AU118" s="21056" t="s">
        <v>63</v>
      </c>
      <c r="AV118" s="21055">
        <v>45838.59328703704</v>
      </c>
      <c r="AW118" s="21056" t="s">
        <v>63</v>
      </c>
      <c r="AX118" s="21053">
        <v>26.92</v>
      </c>
      <c r="AY118" s="21053"/>
      <c r="AZ118" s="21054"/>
      <c r="BA118" s="21055">
        <v>45839.59390046296</v>
      </c>
      <c r="BB118" s="21056" t="s">
        <v>63</v>
      </c>
      <c r="BC118" s="21055">
        <v>46022.59413194445</v>
      </c>
      <c r="BD118" s="21056" t="s">
        <v>63</v>
      </c>
      <c r="BE118" s="21053">
        <v>26.09</v>
      </c>
      <c r="BF118" s="21053"/>
      <c r="BG118" s="21054"/>
      <c r="BH118" s="21055">
        <v>46023.59521990741</v>
      </c>
      <c r="BI118" s="21056" t="s">
        <v>63</v>
      </c>
      <c r="BJ118" s="21055">
        <v>46203.59583333333</v>
      </c>
      <c r="BK118" s="21056" t="s">
        <v>63</v>
      </c>
      <c r="BL118" s="21053">
        <v>26.09</v>
      </c>
      <c r="BM118" s="21053"/>
      <c r="BN118" s="21054"/>
      <c r="BO118" s="21055">
        <v>46204.59709490741</v>
      </c>
      <c r="BP118" s="21056" t="s">
        <v>63</v>
      </c>
      <c r="BQ118" s="21055">
        <v>46387.59722222222</v>
      </c>
      <c r="BR118" s="21056" t="s">
        <v>63</v>
      </c>
      <c r="BS118" s="21053">
        <v>25.5</v>
      </c>
      <c r="BT118" s="21053"/>
      <c r="BU118" s="21054"/>
      <c r="BV118" s="21055">
        <v>46388.59835648148</v>
      </c>
      <c r="BW118" s="21056" t="s">
        <v>63</v>
      </c>
      <c r="BX118" s="21055">
        <v>46568.59868055556</v>
      </c>
      <c r="BY118" s="21056" t="s">
        <v>63</v>
      </c>
      <c r="BZ118" s="21053">
        <v>25.5</v>
      </c>
      <c r="CA118" s="21053"/>
      <c r="CB118" s="21054"/>
      <c r="CC118" s="21055">
        <v>46569.6006712963</v>
      </c>
      <c r="CD118" s="21056" t="s">
        <v>63</v>
      </c>
      <c r="CE118" s="21055">
        <v>46752.6009375</v>
      </c>
      <c r="CF118" s="21056" t="s">
        <v>63</v>
      </c>
      <c r="CG118" s="21053">
        <v>25.5</v>
      </c>
      <c r="CH118" s="21053"/>
      <c r="CI118" s="21054"/>
      <c r="CJ118" s="21055">
        <v>46753.60225694445</v>
      </c>
      <c r="CK118" s="21056" t="s">
        <v>63</v>
      </c>
      <c r="CL118" s="21055">
        <v>46934.60240740741</v>
      </c>
      <c r="CM118" s="21056" t="s">
        <v>63</v>
      </c>
      <c r="CN118" s="21053">
        <v>27.21</v>
      </c>
      <c r="CO118" s="21053"/>
      <c r="CP118" s="21054"/>
      <c r="CQ118" s="21055">
        <v>46935.60306712963</v>
      </c>
      <c r="CR118" s="21056" t="s">
        <v>63</v>
      </c>
      <c r="CS118" s="21055">
        <v>47118.60329861111</v>
      </c>
      <c r="CT118" s="21056" t="s">
        <v>63</v>
      </c>
      <c r="CU118" s="21653"/>
      <c r="CV11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8" s="21281">
        <f>STRCHECKDATE(V119:CU119)</f>
      </c>
      <c r="CX118" s="21633"/>
      <c r="CY118" s="21633" t="str">
        <f>IF(T118="","",T118)</f>
        <v/>
      </c>
      <c r="CZ118" s="21633"/>
      <c r="DA118" s="21633"/>
      <c r="DB118" s="21020">
        <v>0</v>
      </c>
    </row>
    <row s="54085" customFormat="1" customHeight="1" ht="14.25">
      <c r="A119" s="21621"/>
      <c r="B119" s="21621"/>
      <c r="C119" s="21621"/>
      <c r="D119" s="21621"/>
      <c r="E119" s="21622"/>
      <c r="F119" s="21622"/>
      <c r="G119" s="21622"/>
      <c r="H119" s="21622"/>
      <c r="I119" s="21647"/>
      <c r="J119" s="21647" t="str">
        <f>I112&amp;".1"</f>
        <v>1.5.2.1.1</v>
      </c>
      <c r="K119" s="21638"/>
      <c r="L119" s="21624"/>
      <c r="M119" s="21639"/>
      <c r="N119" s="21639"/>
      <c r="O119" s="21639"/>
      <c r="P119" s="21640"/>
      <c r="Q119" s="21640"/>
      <c r="R119" s="21648"/>
      <c r="S119" s="21656"/>
      <c r="T119" s="21631"/>
      <c r="U119" s="21631"/>
      <c r="V119" s="21063"/>
      <c r="W119" s="21063"/>
      <c r="X119" s="21064" t="str">
        <f>Y118&amp;"-"&amp;AA118</f>
        <v>-</v>
      </c>
      <c r="Y119" s="21065"/>
      <c r="Z119" s="21056"/>
      <c r="AA119" s="21065"/>
      <c r="AB119" s="21056"/>
      <c r="AC119" s="21063"/>
      <c r="AD119" s="21063"/>
      <c r="AE119" s="21064" t="str">
        <f>AF118&amp;"-"&amp;AH118</f>
        <v>45292.591782407406-45473.592002314814</v>
      </c>
      <c r="AF119" s="21065"/>
      <c r="AG119" s="21056"/>
      <c r="AH119" s="21324"/>
      <c r="AI119" s="21056"/>
      <c r="AJ119" s="21063"/>
      <c r="AK119" s="21063"/>
      <c r="AL119" s="21064" t="str">
        <f>AM118&amp;"-"&amp;AO118</f>
        <v>45474.59247685185-45657.59263888889</v>
      </c>
      <c r="AM119" s="21065"/>
      <c r="AN119" s="21056"/>
      <c r="AO119" s="21065"/>
      <c r="AP119" s="21056"/>
      <c r="AQ119" s="21063"/>
      <c r="AR119" s="21063"/>
      <c r="AS119" s="21064" t="str">
        <f>AT118&amp;"-"&amp;AV118</f>
        <v>45658.59306712963-45838.59328703704</v>
      </c>
      <c r="AT119" s="21065"/>
      <c r="AU119" s="21056"/>
      <c r="AV119" s="21065"/>
      <c r="AW119" s="21056"/>
      <c r="AX119" s="21063"/>
      <c r="AY119" s="21063"/>
      <c r="AZ119" s="21064" t="str">
        <f>BA118&amp;"-"&amp;BC118</f>
        <v>45839.59390046296-46022.59413194445</v>
      </c>
      <c r="BA119" s="21065"/>
      <c r="BB119" s="21056"/>
      <c r="BC119" s="21065"/>
      <c r="BD119" s="21056"/>
      <c r="BE119" s="21063"/>
      <c r="BF119" s="21063"/>
      <c r="BG119" s="21064" t="str">
        <f>BH118&amp;"-"&amp;BJ118</f>
        <v>46023.59521990741-46203.59583333333</v>
      </c>
      <c r="BH119" s="21065"/>
      <c r="BI119" s="21056"/>
      <c r="BJ119" s="21065"/>
      <c r="BK119" s="21056"/>
      <c r="BL119" s="21063"/>
      <c r="BM119" s="21063"/>
      <c r="BN119" s="21064" t="str">
        <f>BO118&amp;"-"&amp;BQ118</f>
        <v>46204.59709490741-46387.59722222222</v>
      </c>
      <c r="BO119" s="21065"/>
      <c r="BP119" s="21056"/>
      <c r="BQ119" s="21065"/>
      <c r="BR119" s="21056"/>
      <c r="BS119" s="21063"/>
      <c r="BT119" s="21063"/>
      <c r="BU119" s="21064" t="str">
        <f>BV118&amp;"-"&amp;BX118</f>
        <v>46388.59835648148-46568.59868055556</v>
      </c>
      <c r="BV119" s="21065"/>
      <c r="BW119" s="21056"/>
      <c r="BX119" s="21065"/>
      <c r="BY119" s="21056"/>
      <c r="BZ119" s="21063"/>
      <c r="CA119" s="21063"/>
      <c r="CB119" s="21064" t="str">
        <f>CC118&amp;"-"&amp;CE118</f>
        <v>46569.6006712963-46752.6009375</v>
      </c>
      <c r="CC119" s="21065"/>
      <c r="CD119" s="21056"/>
      <c r="CE119" s="21065"/>
      <c r="CF119" s="21056"/>
      <c r="CG119" s="21063"/>
      <c r="CH119" s="21063"/>
      <c r="CI119" s="21064" t="str">
        <f>CJ118&amp;"-"&amp;CL118</f>
        <v>46753.60225694445-46934.60240740741</v>
      </c>
      <c r="CJ119" s="21065"/>
      <c r="CK119" s="21056"/>
      <c r="CL119" s="21065"/>
      <c r="CM119" s="21056"/>
      <c r="CN119" s="21063"/>
      <c r="CO119" s="21063"/>
      <c r="CP119" s="21064" t="str">
        <f>CQ118&amp;"-"&amp;CS118</f>
        <v>46935.60306712963-47118.60329861111</v>
      </c>
      <c r="CQ119" s="21065"/>
      <c r="CR119" s="21056"/>
      <c r="CS119" s="21065"/>
      <c r="CT119" s="21056"/>
      <c r="CU119" s="21657"/>
      <c r="CV119" s="21654"/>
      <c r="CW119" s="21281"/>
      <c r="CX119" s="21633"/>
      <c r="CY119" s="21633" t="str">
        <f>IF(T119="","",T119)</f>
        <v/>
      </c>
      <c r="CZ119" s="21633"/>
      <c r="DA119" s="21633"/>
      <c r="DB119" s="21020">
        <v>0</v>
      </c>
    </row>
    <row s="54086" customFormat="1" customHeight="1" ht="21">
      <c r="A120" s="21621"/>
      <c r="B120" s="21621"/>
      <c r="C120" s="21621"/>
      <c r="D120" s="21621"/>
      <c r="E120" s="21622"/>
      <c r="F120" s="21622"/>
      <c r="G120" s="21622"/>
      <c r="H120" s="21622"/>
      <c r="I120" s="21647"/>
      <c r="J120" s="21638" t="str">
        <f>I112&amp;".1"</f>
        <v>1.5.2.1.1</v>
      </c>
      <c r="K120" s="21621"/>
      <c r="L120" s="21624"/>
      <c r="M120" s="21639"/>
      <c r="N120" s="21639"/>
      <c r="O120" s="21639"/>
      <c r="P120" s="21640"/>
      <c r="Q120" s="21640"/>
      <c r="R120" s="21641"/>
      <c r="S120" s="23113"/>
      <c r="T120" s="23114" t="s">
        <v>622</v>
      </c>
      <c r="U120" s="23115"/>
      <c r="V120" s="23116"/>
      <c r="W120" s="23117"/>
      <c r="X120" s="23118"/>
      <c r="Y120" s="23119"/>
      <c r="Z120" s="23120"/>
      <c r="AA120" s="23121"/>
      <c r="AB120" s="23122"/>
      <c r="AC120" s="23123"/>
      <c r="AD120" s="23124"/>
      <c r="AE120" s="23125"/>
      <c r="AF120" s="23126"/>
      <c r="AG120" s="23127"/>
      <c r="AH120" s="23128"/>
      <c r="AI120" s="23129"/>
      <c r="AJ120" s="23130"/>
      <c r="AK120" s="23131"/>
      <c r="AL120" s="23132"/>
      <c r="AM120" s="23133"/>
      <c r="AN120" s="23134"/>
      <c r="AO120" s="23135"/>
      <c r="AP120" s="23136"/>
      <c r="AQ120" s="23137"/>
      <c r="AR120" s="23138"/>
      <c r="AS120" s="23139"/>
      <c r="AT120" s="23140"/>
      <c r="AU120" s="23141"/>
      <c r="AV120" s="23142"/>
      <c r="AW120" s="23143"/>
      <c r="AX120" s="23144"/>
      <c r="AY120" s="23145"/>
      <c r="AZ120" s="23146"/>
      <c r="BA120" s="23147"/>
      <c r="BB120" s="23148"/>
      <c r="BC120" s="23149"/>
      <c r="BD120" s="23150"/>
      <c r="BE120" s="23151"/>
      <c r="BF120" s="23152"/>
      <c r="BG120" s="23153"/>
      <c r="BH120" s="23154"/>
      <c r="BI120" s="23155"/>
      <c r="BJ120" s="23156"/>
      <c r="BK120" s="23157"/>
      <c r="BL120" s="23158"/>
      <c r="BM120" s="23159"/>
      <c r="BN120" s="23160"/>
      <c r="BO120" s="23161"/>
      <c r="BP120" s="23162"/>
      <c r="BQ120" s="23163"/>
      <c r="BR120" s="23164"/>
      <c r="BS120" s="23165"/>
      <c r="BT120" s="23166"/>
      <c r="BU120" s="23167"/>
      <c r="BV120" s="23168"/>
      <c r="BW120" s="23169"/>
      <c r="BX120" s="23170"/>
      <c r="BY120" s="23171"/>
      <c r="BZ120" s="23172"/>
      <c r="CA120" s="23173"/>
      <c r="CB120" s="23174"/>
      <c r="CC120" s="23175"/>
      <c r="CD120" s="23176"/>
      <c r="CE120" s="23177"/>
      <c r="CF120" s="23178"/>
      <c r="CG120" s="23179"/>
      <c r="CH120" s="23180"/>
      <c r="CI120" s="23181"/>
      <c r="CJ120" s="23182"/>
      <c r="CK120" s="23183"/>
      <c r="CL120" s="23184"/>
      <c r="CM120" s="23185"/>
      <c r="CN120" s="23186"/>
      <c r="CO120" s="23187"/>
      <c r="CP120" s="23188"/>
      <c r="CQ120" s="23189"/>
      <c r="CR120" s="23190"/>
      <c r="CS120" s="23191"/>
      <c r="CT120" s="23192"/>
      <c r="CU120" s="23193"/>
      <c r="CV120" s="21632" t="s">
        <v>623</v>
      </c>
      <c r="CW120" s="21281"/>
      <c r="CX120" s="21633"/>
      <c r="CY120" s="21633" t="str">
        <f>IF(T120="","",T120)</f>
        <v>Добавить значение признака дифференциации</v>
      </c>
      <c r="CZ120" s="21633"/>
      <c r="DA120" s="21633"/>
      <c r="DB120" s="21020">
        <v>0</v>
      </c>
    </row>
    <row s="54168" customFormat="1" customHeight="1" ht="21">
      <c r="A121" s="21621"/>
      <c r="B121" s="21621"/>
      <c r="C121" s="21621"/>
      <c r="D121" s="21621"/>
      <c r="E121" s="21622"/>
      <c r="F121" s="21622"/>
      <c r="G121" s="21622">
        <v>1</v>
      </c>
      <c r="H121" s="21622"/>
      <c r="I121" s="21638"/>
      <c r="J121" s="21621"/>
      <c r="K121" s="21621"/>
      <c r="L121" s="21624"/>
      <c r="M121" s="21639"/>
      <c r="N121" s="21639"/>
      <c r="O121" s="21639"/>
      <c r="P121" s="21640"/>
      <c r="Q121" s="21640"/>
      <c r="R121" s="21641"/>
      <c r="S121" s="23195"/>
      <c r="T121" s="23196" t="s">
        <v>551</v>
      </c>
      <c r="U121" s="23197"/>
      <c r="V121" s="23198"/>
      <c r="W121" s="23199"/>
      <c r="X121" s="23200"/>
      <c r="Y121" s="23201"/>
      <c r="Z121" s="23202"/>
      <c r="AA121" s="23203"/>
      <c r="AB121" s="23204"/>
      <c r="AC121" s="23205"/>
      <c r="AD121" s="23206"/>
      <c r="AE121" s="23207"/>
      <c r="AF121" s="23208"/>
      <c r="AG121" s="23209"/>
      <c r="AH121" s="23210"/>
      <c r="AI121" s="23211"/>
      <c r="AJ121" s="23212"/>
      <c r="AK121" s="23213"/>
      <c r="AL121" s="23214"/>
      <c r="AM121" s="23215"/>
      <c r="AN121" s="23216"/>
      <c r="AO121" s="23217"/>
      <c r="AP121" s="23218"/>
      <c r="AQ121" s="23219"/>
      <c r="AR121" s="23220"/>
      <c r="AS121" s="23221"/>
      <c r="AT121" s="23222"/>
      <c r="AU121" s="23223"/>
      <c r="AV121" s="23224"/>
      <c r="AW121" s="23225"/>
      <c r="AX121" s="23226"/>
      <c r="AY121" s="23227"/>
      <c r="AZ121" s="23228"/>
      <c r="BA121" s="23229"/>
      <c r="BB121" s="23230"/>
      <c r="BC121" s="23231"/>
      <c r="BD121" s="23232"/>
      <c r="BE121" s="23233"/>
      <c r="BF121" s="23234"/>
      <c r="BG121" s="23235"/>
      <c r="BH121" s="23236"/>
      <c r="BI121" s="23237"/>
      <c r="BJ121" s="23238"/>
      <c r="BK121" s="23239"/>
      <c r="BL121" s="23240"/>
      <c r="BM121" s="23241"/>
      <c r="BN121" s="23242"/>
      <c r="BO121" s="23243"/>
      <c r="BP121" s="23244"/>
      <c r="BQ121" s="23245"/>
      <c r="BR121" s="23246"/>
      <c r="BS121" s="23247"/>
      <c r="BT121" s="23248"/>
      <c r="BU121" s="23249"/>
      <c r="BV121" s="23250"/>
      <c r="BW121" s="23251"/>
      <c r="BX121" s="23252"/>
      <c r="BY121" s="23253"/>
      <c r="BZ121" s="23254"/>
      <c r="CA121" s="23255"/>
      <c r="CB121" s="23256"/>
      <c r="CC121" s="23257"/>
      <c r="CD121" s="23258"/>
      <c r="CE121" s="23259"/>
      <c r="CF121" s="23260"/>
      <c r="CG121" s="23261"/>
      <c r="CH121" s="23262"/>
      <c r="CI121" s="23263"/>
      <c r="CJ121" s="23264"/>
      <c r="CK121" s="23265"/>
      <c r="CL121" s="23266"/>
      <c r="CM121" s="23267"/>
      <c r="CN121" s="23268"/>
      <c r="CO121" s="23269"/>
      <c r="CP121" s="23270"/>
      <c r="CQ121" s="23271"/>
      <c r="CR121" s="23272"/>
      <c r="CS121" s="23273"/>
      <c r="CT121" s="23274"/>
      <c r="CU121" s="23275"/>
      <c r="CV121" s="23276"/>
      <c r="CW121" s="21281"/>
      <c r="CX121" s="21633"/>
      <c r="CY121" s="21633" t="str">
        <f>IF(T121="","",T121)</f>
        <v>Добавить группу потребителей</v>
      </c>
      <c r="CZ121" s="21633"/>
      <c r="DA121" s="21633"/>
      <c r="DB121" s="21020">
        <v>0</v>
      </c>
    </row>
    <row s="54251" customFormat="1" customHeight="1" ht="14.25">
      <c r="A122" s="21621"/>
      <c r="B122" s="21621"/>
      <c r="C122" s="21621"/>
      <c r="D122" s="21621"/>
      <c r="E122" s="21622"/>
      <c r="F122" s="21622"/>
      <c r="G122" s="21622">
        <v>1</v>
      </c>
      <c r="H122" s="21623"/>
      <c r="I122" s="21621"/>
      <c r="J122" s="21621"/>
      <c r="K122" s="21621"/>
      <c r="L122" s="21624"/>
      <c r="M122" s="21625"/>
      <c r="N122" s="21625"/>
      <c r="O122" s="21264"/>
      <c r="P122" s="21910"/>
      <c r="Q122" s="21911"/>
      <c r="R122" s="21912"/>
      <c r="S122" s="23278"/>
      <c r="T122" s="23279" t="s">
        <v>624</v>
      </c>
      <c r="U122" s="23280"/>
      <c r="V122" s="23281"/>
      <c r="W122" s="23282"/>
      <c r="X122" s="23283"/>
      <c r="Y122" s="23284"/>
      <c r="Z122" s="23285"/>
      <c r="AA122" s="23286"/>
      <c r="AB122" s="23287"/>
      <c r="AC122" s="23288"/>
      <c r="AD122" s="23289"/>
      <c r="AE122" s="23290"/>
      <c r="AF122" s="23291"/>
      <c r="AG122" s="23292"/>
      <c r="AH122" s="23293"/>
      <c r="AI122" s="23294"/>
      <c r="AJ122" s="23295"/>
      <c r="AK122" s="23296"/>
      <c r="AL122" s="23297"/>
      <c r="AM122" s="23298"/>
      <c r="AN122" s="23299"/>
      <c r="AO122" s="23300"/>
      <c r="AP122" s="23301"/>
      <c r="AQ122" s="23302"/>
      <c r="AR122" s="23303"/>
      <c r="AS122" s="23304"/>
      <c r="AT122" s="23305"/>
      <c r="AU122" s="23306"/>
      <c r="AV122" s="23307"/>
      <c r="AW122" s="23308"/>
      <c r="AX122" s="23309"/>
      <c r="AY122" s="23310"/>
      <c r="AZ122" s="23311"/>
      <c r="BA122" s="23312"/>
      <c r="BB122" s="23313"/>
      <c r="BC122" s="23314"/>
      <c r="BD122" s="23315"/>
      <c r="BE122" s="23316"/>
      <c r="BF122" s="23317"/>
      <c r="BG122" s="23318"/>
      <c r="BH122" s="23319"/>
      <c r="BI122" s="23320"/>
      <c r="BJ122" s="23321"/>
      <c r="BK122" s="23322"/>
      <c r="BL122" s="23323"/>
      <c r="BM122" s="23324"/>
      <c r="BN122" s="23325"/>
      <c r="BO122" s="23326"/>
      <c r="BP122" s="23327"/>
      <c r="BQ122" s="23328"/>
      <c r="BR122" s="23329"/>
      <c r="BS122" s="23330"/>
      <c r="BT122" s="23331"/>
      <c r="BU122" s="23332"/>
      <c r="BV122" s="23333"/>
      <c r="BW122" s="23334"/>
      <c r="BX122" s="23335"/>
      <c r="BY122" s="23336"/>
      <c r="BZ122" s="23337"/>
      <c r="CA122" s="23338"/>
      <c r="CB122" s="23339"/>
      <c r="CC122" s="23340"/>
      <c r="CD122" s="23341"/>
      <c r="CE122" s="23342"/>
      <c r="CF122" s="23343"/>
      <c r="CG122" s="23344"/>
      <c r="CH122" s="23345"/>
      <c r="CI122" s="23346"/>
      <c r="CJ122" s="23347"/>
      <c r="CK122" s="23348"/>
      <c r="CL122" s="23349"/>
      <c r="CM122" s="23350"/>
      <c r="CN122" s="23351"/>
      <c r="CO122" s="23352"/>
      <c r="CP122" s="23353"/>
      <c r="CQ122" s="23354"/>
      <c r="CR122" s="23355"/>
      <c r="CS122" s="23356"/>
      <c r="CT122" s="23357"/>
      <c r="CU122" s="23358"/>
      <c r="CV122" s="23359"/>
      <c r="CW122" s="21281"/>
      <c r="CX122" s="21633"/>
      <c r="CY122" s="21633" t="str">
        <f>IF(T122="","",T122)</f>
        <v>Добавить наименование признака дифференциации</v>
      </c>
      <c r="CZ122" s="21633"/>
      <c r="DA122" s="21633"/>
      <c r="DB122" s="21020">
        <v>0</v>
      </c>
    </row>
    <row s="54334" customFormat="1" customHeight="1" ht="23.25">
      <c r="A123" s="21621"/>
      <c r="B123" s="21621"/>
      <c r="C123" s="21621" t="s">
        <v>311</v>
      </c>
      <c r="D123" s="21621"/>
      <c r="E123" s="21622"/>
      <c r="F123" s="21622"/>
      <c r="G123" s="21623" t="s">
        <v>92</v>
      </c>
      <c r="H123" s="21621"/>
      <c r="I123" s="21621"/>
      <c r="J123" s="21621"/>
      <c r="K123" s="21621"/>
      <c r="L123" s="21624"/>
      <c r="M123" s="21625"/>
      <c r="N123" s="21625"/>
      <c r="O123" s="21625"/>
      <c r="P123" s="21635"/>
      <c r="Q123" s="21627"/>
      <c r="R123" s="21628"/>
      <c r="S123" s="21629" t="str">
        <f>INDEX(PT_DIFFERENTIATION_NUM_CS,MATCH(C123,PT_DIFFERENTIATION_CS_ID,0))</f>
        <v>1.5.3</v>
      </c>
      <c r="T123" s="21636" t="s">
        <v>617</v>
      </c>
      <c r="U123" s="21631"/>
      <c r="V123" s="21025"/>
      <c r="W123" s="21026"/>
      <c r="X123" s="21026"/>
      <c r="Y123" s="21026"/>
      <c r="Z123" s="21026"/>
      <c r="AA123" s="21026"/>
      <c r="AB123" s="21027"/>
      <c r="AC123" s="21025" t="str">
        <f>INDEX(PT_DIFFERENTIATION_CS,MATCH(C123,PT_DIFFERENTIATION_CS_ID,0))</f>
        <v>пгт. Посьет</v>
      </c>
      <c r="AD123" s="21026"/>
      <c r="AE123" s="21026"/>
      <c r="AF123" s="21026"/>
      <c r="AG123" s="21026"/>
      <c r="AH123" s="21026"/>
      <c r="AI123" s="21026"/>
      <c r="AJ123" s="21025"/>
      <c r="AK123" s="21026"/>
      <c r="AL123" s="21026"/>
      <c r="AM123" s="21026"/>
      <c r="AN123" s="21026"/>
      <c r="AO123" s="21026"/>
      <c r="AP123" s="21027"/>
      <c r="AQ123" s="21025"/>
      <c r="AR123" s="21026"/>
      <c r="AS123" s="21026"/>
      <c r="AT123" s="21026"/>
      <c r="AU123" s="21026"/>
      <c r="AV123" s="21026"/>
      <c r="AW123" s="21027"/>
      <c r="AX123" s="21025"/>
      <c r="AY123" s="21026"/>
      <c r="AZ123" s="21026"/>
      <c r="BA123" s="21026"/>
      <c r="BB123" s="21026"/>
      <c r="BC123" s="21026"/>
      <c r="BD123" s="21027"/>
      <c r="BE123" s="21025"/>
      <c r="BF123" s="21026"/>
      <c r="BG123" s="21026"/>
      <c r="BH123" s="21026"/>
      <c r="BI123" s="21026"/>
      <c r="BJ123" s="21026"/>
      <c r="BK123" s="21027"/>
      <c r="BL123" s="21025"/>
      <c r="BM123" s="21026"/>
      <c r="BN123" s="21026"/>
      <c r="BO123" s="21026"/>
      <c r="BP123" s="21026"/>
      <c r="BQ123" s="21026"/>
      <c r="BR123" s="21027"/>
      <c r="BS123" s="21025"/>
      <c r="BT123" s="21026"/>
      <c r="BU123" s="21026"/>
      <c r="BV123" s="21026"/>
      <c r="BW123" s="21026"/>
      <c r="BX123" s="21026"/>
      <c r="BY123" s="21027"/>
      <c r="BZ123" s="21025"/>
      <c r="CA123" s="21026"/>
      <c r="CB123" s="21026"/>
      <c r="CC123" s="21026"/>
      <c r="CD123" s="21026"/>
      <c r="CE123" s="21026"/>
      <c r="CF123" s="21027"/>
      <c r="CG123" s="21025"/>
      <c r="CH123" s="21026"/>
      <c r="CI123" s="21026"/>
      <c r="CJ123" s="21026"/>
      <c r="CK123" s="21026"/>
      <c r="CL123" s="21026"/>
      <c r="CM123" s="21027"/>
      <c r="CN123" s="21025"/>
      <c r="CO123" s="21026"/>
      <c r="CP123" s="21026"/>
      <c r="CQ123" s="21026"/>
      <c r="CR123" s="21026"/>
      <c r="CS123" s="21026"/>
      <c r="CT123" s="21027"/>
      <c r="CU123" s="21027"/>
      <c r="CV123" s="21632" t="s">
        <v>618</v>
      </c>
      <c r="CW123" s="21281"/>
      <c r="CX123" s="21633"/>
      <c r="CY123" s="21633" t="str">
        <f>IF(T123="","",T123)</f>
        <v>Наименование централизованной системы холодного водоснабжения</v>
      </c>
      <c r="CZ123" s="21633"/>
      <c r="DA123" s="21633"/>
      <c r="DB123" s="21020">
        <v>0</v>
      </c>
    </row>
    <row s="54335" customFormat="1" customHeight="1" ht="23.25">
      <c r="A124" s="21621"/>
      <c r="B124" s="21621"/>
      <c r="C124" s="21621"/>
      <c r="D124" s="21621"/>
      <c r="E124" s="21622"/>
      <c r="F124" s="21622"/>
      <c r="G124" s="21622" t="s">
        <v>105</v>
      </c>
      <c r="H124" s="21622"/>
      <c r="I124" s="21638" t="str">
        <f>S123&amp;".1"</f>
        <v>1.5.3.1</v>
      </c>
      <c r="J124" s="21621"/>
      <c r="K124" s="21621"/>
      <c r="L124" s="21624"/>
      <c r="M124" s="21639"/>
      <c r="N124" s="21639"/>
      <c r="O124" s="21639"/>
      <c r="P124" s="21640">
        <v>1</v>
      </c>
      <c r="Q124" s="21640"/>
      <c r="R124" s="21641"/>
      <c r="S124" s="21629" t="str">
        <f>$I124</f>
        <v>1.5.3.1</v>
      </c>
      <c r="T124" s="21642" t="s">
        <v>619</v>
      </c>
      <c r="U124" s="21631"/>
      <c r="V124" s="21038"/>
      <c r="W124" s="21039"/>
      <c r="X124" s="21039"/>
      <c r="Y124" s="21039"/>
      <c r="Z124" s="21039"/>
      <c r="AA124" s="21039"/>
      <c r="AB124" s="21040"/>
      <c r="AC124" s="21643"/>
      <c r="AD124" s="21644"/>
      <c r="AE124" s="21644"/>
      <c r="AF124" s="21644"/>
      <c r="AG124" s="21644"/>
      <c r="AH124" s="21644"/>
      <c r="AI124" s="21644"/>
      <c r="AJ124" s="21038"/>
      <c r="AK124" s="21039"/>
      <c r="AL124" s="21039"/>
      <c r="AM124" s="21039"/>
      <c r="AN124" s="21039"/>
      <c r="AO124" s="21039"/>
      <c r="AP124" s="21040"/>
      <c r="AQ124" s="21038"/>
      <c r="AR124" s="21039"/>
      <c r="AS124" s="21039"/>
      <c r="AT124" s="21039"/>
      <c r="AU124" s="21039"/>
      <c r="AV124" s="21039"/>
      <c r="AW124" s="21040"/>
      <c r="AX124" s="21038"/>
      <c r="AY124" s="21039"/>
      <c r="AZ124" s="21039"/>
      <c r="BA124" s="21039"/>
      <c r="BB124" s="21039"/>
      <c r="BC124" s="21039"/>
      <c r="BD124" s="21040"/>
      <c r="BE124" s="21038"/>
      <c r="BF124" s="21039"/>
      <c r="BG124" s="21039"/>
      <c r="BH124" s="21039"/>
      <c r="BI124" s="21039"/>
      <c r="BJ124" s="21039"/>
      <c r="BK124" s="21040"/>
      <c r="BL124" s="21038"/>
      <c r="BM124" s="21039"/>
      <c r="BN124" s="21039"/>
      <c r="BO124" s="21039"/>
      <c r="BP124" s="21039"/>
      <c r="BQ124" s="21039"/>
      <c r="BR124" s="21040"/>
      <c r="BS124" s="21038"/>
      <c r="BT124" s="21039"/>
      <c r="BU124" s="21039"/>
      <c r="BV124" s="21039"/>
      <c r="BW124" s="21039"/>
      <c r="BX124" s="21039"/>
      <c r="BY124" s="21040"/>
      <c r="BZ124" s="21038"/>
      <c r="CA124" s="21039"/>
      <c r="CB124" s="21039"/>
      <c r="CC124" s="21039"/>
      <c r="CD124" s="21039"/>
      <c r="CE124" s="21039"/>
      <c r="CF124" s="21040"/>
      <c r="CG124" s="21038"/>
      <c r="CH124" s="21039"/>
      <c r="CI124" s="21039"/>
      <c r="CJ124" s="21039"/>
      <c r="CK124" s="21039"/>
      <c r="CL124" s="21039"/>
      <c r="CM124" s="21040"/>
      <c r="CN124" s="21038"/>
      <c r="CO124" s="21039"/>
      <c r="CP124" s="21039"/>
      <c r="CQ124" s="21039"/>
      <c r="CR124" s="21039"/>
      <c r="CS124" s="21039"/>
      <c r="CT124" s="21040"/>
      <c r="CU124" s="21645"/>
      <c r="CV124" s="21632" t="s">
        <v>620</v>
      </c>
      <c r="CW124" s="21281"/>
      <c r="CX124" s="21633"/>
      <c r="CY124" s="21633" t="str">
        <f>IF(T124="","",T124)</f>
        <v>Наименование признака дифференциации</v>
      </c>
      <c r="CZ124" s="21633"/>
      <c r="DA124" s="21633"/>
      <c r="DB124" s="21020">
        <v>0</v>
      </c>
    </row>
    <row s="54336" customFormat="1" customHeight="1" ht="23.25">
      <c r="A125" s="21621"/>
      <c r="B125" s="21621"/>
      <c r="C125" s="21621"/>
      <c r="D125" s="21621"/>
      <c r="E125" s="21622"/>
      <c r="F125" s="21622"/>
      <c r="G125" s="21622" t="s">
        <v>105</v>
      </c>
      <c r="H125" s="21622"/>
      <c r="I125" s="21647"/>
      <c r="J125" s="21638" t="str">
        <f>I124&amp;".1"</f>
        <v>1.5.3.1.1</v>
      </c>
      <c r="K125" s="21621"/>
      <c r="L125" s="21624" t="s">
        <v>545</v>
      </c>
      <c r="M125" s="21639"/>
      <c r="N125" s="21639"/>
      <c r="O125" s="21639"/>
      <c r="P125" s="21640"/>
      <c r="Q125" s="21640">
        <v>1</v>
      </c>
      <c r="R125" s="21648"/>
      <c r="S125" s="21629" t="str">
        <f>$J125</f>
        <v>1.5.3.1.1</v>
      </c>
      <c r="T125" s="21649" t="s">
        <v>546</v>
      </c>
      <c r="U125" s="21631"/>
      <c r="V125" s="21045"/>
      <c r="W125" s="21046"/>
      <c r="X125" s="21046"/>
      <c r="Y125" s="21046"/>
      <c r="Z125" s="21046"/>
      <c r="AA125" s="21046"/>
      <c r="AB125" s="21047"/>
      <c r="AC125" s="21045" t="s">
        <v>632</v>
      </c>
      <c r="AD125" s="21046"/>
      <c r="AE125" s="21046"/>
      <c r="AF125" s="21046"/>
      <c r="AG125" s="21046"/>
      <c r="AH125" s="21046"/>
      <c r="AI125" s="21046"/>
      <c r="AJ125" s="21045"/>
      <c r="AK125" s="21046"/>
      <c r="AL125" s="21046"/>
      <c r="AM125" s="21046"/>
      <c r="AN125" s="21046"/>
      <c r="AO125" s="21046"/>
      <c r="AP125" s="21047"/>
      <c r="AQ125" s="21045"/>
      <c r="AR125" s="21046"/>
      <c r="AS125" s="21046"/>
      <c r="AT125" s="21046"/>
      <c r="AU125" s="21046"/>
      <c r="AV125" s="21046"/>
      <c r="AW125" s="21047"/>
      <c r="AX125" s="21045"/>
      <c r="AY125" s="21046"/>
      <c r="AZ125" s="21046"/>
      <c r="BA125" s="21046"/>
      <c r="BB125" s="21046"/>
      <c r="BC125" s="21046"/>
      <c r="BD125" s="21047"/>
      <c r="BE125" s="21045"/>
      <c r="BF125" s="21046"/>
      <c r="BG125" s="21046"/>
      <c r="BH125" s="21046"/>
      <c r="BI125" s="21046"/>
      <c r="BJ125" s="21046"/>
      <c r="BK125" s="21047"/>
      <c r="BL125" s="21045"/>
      <c r="BM125" s="21046"/>
      <c r="BN125" s="21046"/>
      <c r="BO125" s="21046"/>
      <c r="BP125" s="21046"/>
      <c r="BQ125" s="21046"/>
      <c r="BR125" s="21047"/>
      <c r="BS125" s="21045"/>
      <c r="BT125" s="21046"/>
      <c r="BU125" s="21046"/>
      <c r="BV125" s="21046"/>
      <c r="BW125" s="21046"/>
      <c r="BX125" s="21046"/>
      <c r="BY125" s="21047"/>
      <c r="BZ125" s="21045"/>
      <c r="CA125" s="21046"/>
      <c r="CB125" s="21046"/>
      <c r="CC125" s="21046"/>
      <c r="CD125" s="21046"/>
      <c r="CE125" s="21046"/>
      <c r="CF125" s="21047"/>
      <c r="CG125" s="21045"/>
      <c r="CH125" s="21046"/>
      <c r="CI125" s="21046"/>
      <c r="CJ125" s="21046"/>
      <c r="CK125" s="21046"/>
      <c r="CL125" s="21046"/>
      <c r="CM125" s="21047"/>
      <c r="CN125" s="21045"/>
      <c r="CO125" s="21046"/>
      <c r="CP125" s="21046"/>
      <c r="CQ125" s="21046"/>
      <c r="CR125" s="21046"/>
      <c r="CS125" s="21046"/>
      <c r="CT125" s="21047"/>
      <c r="CU125" s="21047"/>
      <c r="CV125" s="21650" t="s">
        <v>621</v>
      </c>
      <c r="CW125" s="21281"/>
      <c r="CX125" s="21633"/>
      <c r="CY125" s="21633" t="str">
        <f>IF(T125="","",T125)</f>
        <v>Группа потребителей</v>
      </c>
      <c r="CZ125" s="21633"/>
      <c r="DA125" s="21633"/>
      <c r="DB125" s="21020">
        <v>0</v>
      </c>
    </row>
    <row s="54337" customFormat="1" customHeight="1" ht="23.25">
      <c r="A126" s="21621"/>
      <c r="B126" s="21621"/>
      <c r="C126" s="21621"/>
      <c r="D126" s="21621"/>
      <c r="E126" s="21622"/>
      <c r="F126" s="21622"/>
      <c r="G126" s="21622" t="s">
        <v>105</v>
      </c>
      <c r="H126" s="21622"/>
      <c r="I126" s="21647"/>
      <c r="J126" s="21647"/>
      <c r="K126" s="21638" t="str">
        <f>J125&amp;".1"</f>
        <v>1.5.3.1.1.1</v>
      </c>
      <c r="L126" s="21624"/>
      <c r="M126" s="21639"/>
      <c r="N126" s="21639"/>
      <c r="O126" s="21639"/>
      <c r="P126" s="21640"/>
      <c r="Q126" s="21640"/>
      <c r="R126" s="21648">
        <v>1</v>
      </c>
      <c r="S126" s="21629" t="str">
        <f>$K126</f>
        <v>1.5.3.1.1.1</v>
      </c>
      <c r="T126" s="21652"/>
      <c r="U126" s="21631"/>
      <c r="V126" s="21053"/>
      <c r="W126" s="21053"/>
      <c r="X126" s="21054"/>
      <c r="Y126" s="21055"/>
      <c r="Z126" s="21056" t="s">
        <v>63</v>
      </c>
      <c r="AA126" s="21055"/>
      <c r="AB126" s="21056" t="s">
        <v>63</v>
      </c>
      <c r="AC126" s="21053">
        <v>20.48</v>
      </c>
      <c r="AD126" s="21053"/>
      <c r="AE126" s="21054"/>
      <c r="AF126" s="21055">
        <v>45292.604212962964</v>
      </c>
      <c r="AG126" s="21056" t="s">
        <v>63</v>
      </c>
      <c r="AH126" s="21321">
        <v>45473.604317129626</v>
      </c>
      <c r="AI126" s="21056" t="s">
        <v>63</v>
      </c>
      <c r="AJ126" s="21053">
        <v>26.63</v>
      </c>
      <c r="AK126" s="21053"/>
      <c r="AL126" s="21054"/>
      <c r="AM126" s="21055">
        <v>45474.60518518519</v>
      </c>
      <c r="AN126" s="21056" t="s">
        <v>63</v>
      </c>
      <c r="AO126" s="21055">
        <v>45657.60537037037</v>
      </c>
      <c r="AP126" s="21056" t="s">
        <v>63</v>
      </c>
      <c r="AQ126" s="21053">
        <v>26.63</v>
      </c>
      <c r="AR126" s="21053"/>
      <c r="AS126" s="21054"/>
      <c r="AT126" s="21055">
        <v>45658.60586805556</v>
      </c>
      <c r="AU126" s="21056" t="s">
        <v>63</v>
      </c>
      <c r="AV126" s="21055">
        <v>45838.60618055556</v>
      </c>
      <c r="AW126" s="21056" t="s">
        <v>63</v>
      </c>
      <c r="AX126" s="21053">
        <v>31.78</v>
      </c>
      <c r="AY126" s="21053"/>
      <c r="AZ126" s="21054"/>
      <c r="BA126" s="21055">
        <v>45839.606724537036</v>
      </c>
      <c r="BB126" s="21056" t="s">
        <v>63</v>
      </c>
      <c r="BC126" s="21055">
        <v>46022.60717592593</v>
      </c>
      <c r="BD126" s="21056" t="s">
        <v>63</v>
      </c>
      <c r="BE126" s="21053">
        <v>29.47</v>
      </c>
      <c r="BF126" s="21053"/>
      <c r="BG126" s="21054"/>
      <c r="BH126" s="21055">
        <v>46023.60769675926</v>
      </c>
      <c r="BI126" s="21056" t="s">
        <v>63</v>
      </c>
      <c r="BJ126" s="21055">
        <v>46203.60792824074</v>
      </c>
      <c r="BK126" s="21056" t="s">
        <v>63</v>
      </c>
      <c r="BL126" s="21053">
        <v>29.47</v>
      </c>
      <c r="BM126" s="21053"/>
      <c r="BN126" s="21054"/>
      <c r="BO126" s="21055">
        <v>46204.608564814815</v>
      </c>
      <c r="BP126" s="21056" t="s">
        <v>63</v>
      </c>
      <c r="BQ126" s="21055">
        <v>46387.61064814815</v>
      </c>
      <c r="BR126" s="21056" t="s">
        <v>63</v>
      </c>
      <c r="BS126" s="21053">
        <v>28.75</v>
      </c>
      <c r="BT126" s="21053"/>
      <c r="BU126" s="21054"/>
      <c r="BV126" s="21055">
        <v>46388.61125</v>
      </c>
      <c r="BW126" s="21056" t="s">
        <v>63</v>
      </c>
      <c r="BX126" s="21055">
        <v>46568.611597222225</v>
      </c>
      <c r="BY126" s="21056" t="s">
        <v>63</v>
      </c>
      <c r="BZ126" s="21053">
        <v>28.75</v>
      </c>
      <c r="CA126" s="21053"/>
      <c r="CB126" s="21054"/>
      <c r="CC126" s="21055">
        <v>46569.61252314815</v>
      </c>
      <c r="CD126" s="21056" t="s">
        <v>63</v>
      </c>
      <c r="CE126" s="21055">
        <v>46752.61277777778</v>
      </c>
      <c r="CF126" s="21056" t="s">
        <v>63</v>
      </c>
      <c r="CG126" s="21053">
        <v>28.75</v>
      </c>
      <c r="CH126" s="21053"/>
      <c r="CI126" s="21054"/>
      <c r="CJ126" s="21055">
        <v>46753.613645833335</v>
      </c>
      <c r="CK126" s="21056" t="s">
        <v>63</v>
      </c>
      <c r="CL126" s="21055">
        <v>46934.61393518518</v>
      </c>
      <c r="CM126" s="21056" t="s">
        <v>63</v>
      </c>
      <c r="CN126" s="21053">
        <v>30.94</v>
      </c>
      <c r="CO126" s="21053"/>
      <c r="CP126" s="21054"/>
      <c r="CQ126" s="21055">
        <v>46935.61424768518</v>
      </c>
      <c r="CR126" s="21056" t="s">
        <v>63</v>
      </c>
      <c r="CS126" s="21055">
        <v>47118.614537037036</v>
      </c>
      <c r="CT126" s="21056" t="s">
        <v>63</v>
      </c>
      <c r="CU126" s="21653"/>
      <c r="CV126"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6" s="21281">
        <f>STRCHECKDATE(V127:CU127)</f>
      </c>
      <c r="CX126" s="21633"/>
      <c r="CY126" s="21633" t="str">
        <f>IF(T126="","",T126)</f>
        <v/>
      </c>
      <c r="CZ126" s="21633"/>
      <c r="DA126" s="21633"/>
      <c r="DB126" s="21020">
        <v>0</v>
      </c>
    </row>
    <row s="54338" customFormat="1" customHeight="1" ht="14.25">
      <c r="A127" s="21621"/>
      <c r="B127" s="21621"/>
      <c r="C127" s="21621"/>
      <c r="D127" s="21621"/>
      <c r="E127" s="21622"/>
      <c r="F127" s="21622"/>
      <c r="G127" s="21622" t="s">
        <v>105</v>
      </c>
      <c r="H127" s="21622"/>
      <c r="I127" s="21647"/>
      <c r="J127" s="21647"/>
      <c r="K127" s="21638"/>
      <c r="L127" s="21624"/>
      <c r="M127" s="21639"/>
      <c r="N127" s="21639"/>
      <c r="O127" s="21639"/>
      <c r="P127" s="21640"/>
      <c r="Q127" s="21640"/>
      <c r="R127" s="21648"/>
      <c r="S127" s="21656"/>
      <c r="T127" s="21631"/>
      <c r="U127" s="21631"/>
      <c r="V127" s="21063"/>
      <c r="W127" s="21063"/>
      <c r="X127" s="21064" t="str">
        <f>Y126&amp;"-"&amp;AA126</f>
        <v>-</v>
      </c>
      <c r="Y127" s="21065"/>
      <c r="Z127" s="21056"/>
      <c r="AA127" s="21065"/>
      <c r="AB127" s="21056"/>
      <c r="AC127" s="21063"/>
      <c r="AD127" s="21063"/>
      <c r="AE127" s="21064" t="str">
        <f>AF126&amp;"-"&amp;AH126</f>
        <v>45292.604212962964-45473.604317129626</v>
      </c>
      <c r="AF127" s="21065"/>
      <c r="AG127" s="21056"/>
      <c r="AH127" s="21324"/>
      <c r="AI127" s="21056"/>
      <c r="AJ127" s="21063"/>
      <c r="AK127" s="21063"/>
      <c r="AL127" s="21064" t="str">
        <f>AM126&amp;"-"&amp;AO126</f>
        <v>45474.60518518519-45657.60537037037</v>
      </c>
      <c r="AM127" s="21065"/>
      <c r="AN127" s="21056"/>
      <c r="AO127" s="21065"/>
      <c r="AP127" s="21056"/>
      <c r="AQ127" s="21063"/>
      <c r="AR127" s="21063"/>
      <c r="AS127" s="21064" t="str">
        <f>AT126&amp;"-"&amp;AV126</f>
        <v>45658.60586805556-45838.60618055556</v>
      </c>
      <c r="AT127" s="21065"/>
      <c r="AU127" s="21056"/>
      <c r="AV127" s="21065"/>
      <c r="AW127" s="21056"/>
      <c r="AX127" s="21063"/>
      <c r="AY127" s="21063"/>
      <c r="AZ127" s="21064" t="str">
        <f>BA126&amp;"-"&amp;BC126</f>
        <v>45839.606724537036-46022.60717592593</v>
      </c>
      <c r="BA127" s="21065"/>
      <c r="BB127" s="21056"/>
      <c r="BC127" s="21065"/>
      <c r="BD127" s="21056"/>
      <c r="BE127" s="21063"/>
      <c r="BF127" s="21063"/>
      <c r="BG127" s="21064" t="str">
        <f>BH126&amp;"-"&amp;BJ126</f>
        <v>46023.60769675926-46203.60792824074</v>
      </c>
      <c r="BH127" s="21065"/>
      <c r="BI127" s="21056"/>
      <c r="BJ127" s="21065"/>
      <c r="BK127" s="21056"/>
      <c r="BL127" s="21063"/>
      <c r="BM127" s="21063"/>
      <c r="BN127" s="21064" t="str">
        <f>BO126&amp;"-"&amp;BQ126</f>
        <v>46204.608564814815-46387.61064814815</v>
      </c>
      <c r="BO127" s="21065"/>
      <c r="BP127" s="21056"/>
      <c r="BQ127" s="21065"/>
      <c r="BR127" s="21056"/>
      <c r="BS127" s="21063"/>
      <c r="BT127" s="21063"/>
      <c r="BU127" s="21064" t="str">
        <f>BV126&amp;"-"&amp;BX126</f>
        <v>46388.61125-46568.611597222225</v>
      </c>
      <c r="BV127" s="21065"/>
      <c r="BW127" s="21056"/>
      <c r="BX127" s="21065"/>
      <c r="BY127" s="21056"/>
      <c r="BZ127" s="21063"/>
      <c r="CA127" s="21063"/>
      <c r="CB127" s="21064" t="str">
        <f>CC126&amp;"-"&amp;CE126</f>
        <v>46569.61252314815-46752.61277777778</v>
      </c>
      <c r="CC127" s="21065"/>
      <c r="CD127" s="21056"/>
      <c r="CE127" s="21065"/>
      <c r="CF127" s="21056"/>
      <c r="CG127" s="21063"/>
      <c r="CH127" s="21063"/>
      <c r="CI127" s="21064" t="str">
        <f>CJ126&amp;"-"&amp;CL126</f>
        <v>46753.613645833335-46934.61393518518</v>
      </c>
      <c r="CJ127" s="21065"/>
      <c r="CK127" s="21056"/>
      <c r="CL127" s="21065"/>
      <c r="CM127" s="21056"/>
      <c r="CN127" s="21063"/>
      <c r="CO127" s="21063"/>
      <c r="CP127" s="21064" t="str">
        <f>CQ126&amp;"-"&amp;CS126</f>
        <v>46935.61424768518-47118.614537037036</v>
      </c>
      <c r="CQ127" s="21065"/>
      <c r="CR127" s="21056"/>
      <c r="CS127" s="21065"/>
      <c r="CT127" s="21056"/>
      <c r="CU127" s="21657"/>
      <c r="CV127" s="21654"/>
      <c r="CW127" s="21281"/>
      <c r="CX127" s="21633"/>
      <c r="CY127" s="21633" t="str">
        <f>IF(T127="","",T127)</f>
        <v/>
      </c>
      <c r="CZ127" s="21633"/>
      <c r="DA127" s="21633"/>
      <c r="DB127" s="21020">
        <v>0</v>
      </c>
    </row>
    <row s="54339" customFormat="1" customHeight="1" ht="21">
      <c r="A128" s="21621"/>
      <c r="B128" s="21621"/>
      <c r="C128" s="21621"/>
      <c r="D128" s="21621"/>
      <c r="E128" s="21622"/>
      <c r="F128" s="21622"/>
      <c r="G128" s="21622" t="s">
        <v>105</v>
      </c>
      <c r="H128" s="21622"/>
      <c r="I128" s="21647"/>
      <c r="J128" s="21638"/>
      <c r="K128" s="21621"/>
      <c r="L128" s="21624"/>
      <c r="M128" s="21639"/>
      <c r="N128" s="21639"/>
      <c r="O128" s="21639"/>
      <c r="P128" s="21640"/>
      <c r="Q128" s="21640"/>
      <c r="R128" s="21641"/>
      <c r="S128" s="23366"/>
      <c r="T128" s="23367" t="s">
        <v>622</v>
      </c>
      <c r="U128" s="23368"/>
      <c r="V128" s="23369"/>
      <c r="W128" s="23370"/>
      <c r="X128" s="23371"/>
      <c r="Y128" s="23372"/>
      <c r="Z128" s="23373"/>
      <c r="AA128" s="23374"/>
      <c r="AB128" s="23375"/>
      <c r="AC128" s="23376"/>
      <c r="AD128" s="23377"/>
      <c r="AE128" s="23378"/>
      <c r="AF128" s="23379"/>
      <c r="AG128" s="23380"/>
      <c r="AH128" s="23381"/>
      <c r="AI128" s="23382"/>
      <c r="AJ128" s="23383"/>
      <c r="AK128" s="23384"/>
      <c r="AL128" s="23385"/>
      <c r="AM128" s="23386"/>
      <c r="AN128" s="23387"/>
      <c r="AO128" s="23388"/>
      <c r="AP128" s="23389"/>
      <c r="AQ128" s="23390"/>
      <c r="AR128" s="23391"/>
      <c r="AS128" s="23392"/>
      <c r="AT128" s="23393"/>
      <c r="AU128" s="23394"/>
      <c r="AV128" s="23395"/>
      <c r="AW128" s="23396"/>
      <c r="AX128" s="23397"/>
      <c r="AY128" s="23398"/>
      <c r="AZ128" s="23399"/>
      <c r="BA128" s="23400"/>
      <c r="BB128" s="23401"/>
      <c r="BC128" s="23402"/>
      <c r="BD128" s="23403"/>
      <c r="BE128" s="23404"/>
      <c r="BF128" s="23405"/>
      <c r="BG128" s="23406"/>
      <c r="BH128" s="23407"/>
      <c r="BI128" s="23408"/>
      <c r="BJ128" s="23409"/>
      <c r="BK128" s="23410"/>
      <c r="BL128" s="23411"/>
      <c r="BM128" s="23412"/>
      <c r="BN128" s="23413"/>
      <c r="BO128" s="23414"/>
      <c r="BP128" s="23415"/>
      <c r="BQ128" s="23416"/>
      <c r="BR128" s="23417"/>
      <c r="BS128" s="23418"/>
      <c r="BT128" s="23419"/>
      <c r="BU128" s="23420"/>
      <c r="BV128" s="23421"/>
      <c r="BW128" s="23422"/>
      <c r="BX128" s="23423"/>
      <c r="BY128" s="23424"/>
      <c r="BZ128" s="23425"/>
      <c r="CA128" s="23426"/>
      <c r="CB128" s="23427"/>
      <c r="CC128" s="23428"/>
      <c r="CD128" s="23429"/>
      <c r="CE128" s="23430"/>
      <c r="CF128" s="23431"/>
      <c r="CG128" s="23432"/>
      <c r="CH128" s="23433"/>
      <c r="CI128" s="23434"/>
      <c r="CJ128" s="23435"/>
      <c r="CK128" s="23436"/>
      <c r="CL128" s="23437"/>
      <c r="CM128" s="23438"/>
      <c r="CN128" s="23439"/>
      <c r="CO128" s="23440"/>
      <c r="CP128" s="23441"/>
      <c r="CQ128" s="23442"/>
      <c r="CR128" s="23443"/>
      <c r="CS128" s="23444"/>
      <c r="CT128" s="23445"/>
      <c r="CU128" s="23446"/>
      <c r="CV128" s="21632" t="s">
        <v>623</v>
      </c>
      <c r="CW128" s="21281"/>
      <c r="CX128" s="21633"/>
      <c r="CY128" s="21633" t="str">
        <f>IF(T128="","",T128)</f>
        <v>Добавить значение признака дифференциации</v>
      </c>
      <c r="CZ128" s="21633"/>
      <c r="DA128" s="21633"/>
      <c r="DB128" s="21020">
        <v>0</v>
      </c>
    </row>
    <row s="54421" customFormat="1" customHeight="1" ht="23.25">
      <c r="A129" s="21621"/>
      <c r="B129" s="21621"/>
      <c r="C129" s="21621"/>
      <c r="D129" s="21621"/>
      <c r="E129" s="21622"/>
      <c r="F129" s="21622"/>
      <c r="G129" s="21622"/>
      <c r="H129" s="21622"/>
      <c r="I129" s="21647"/>
      <c r="J129" s="21638" t="str">
        <f>I124&amp;".2"</f>
        <v>1.5.3.1.2</v>
      </c>
      <c r="K129" s="21621"/>
      <c r="L129" s="21624" t="s">
        <v>545</v>
      </c>
      <c r="M129" s="21639"/>
      <c r="N129" s="21639"/>
      <c r="O129" s="21639"/>
      <c r="P129" s="21640"/>
      <c r="Q129" s="21741" t="s">
        <v>106</v>
      </c>
      <c r="R129" s="21648"/>
      <c r="S129" s="21629" t="str">
        <f>$J129</f>
        <v>1.5.3.1.2</v>
      </c>
      <c r="T129" s="21649" t="s">
        <v>546</v>
      </c>
      <c r="U129" s="21631"/>
      <c r="V129" s="21045"/>
      <c r="W129" s="21046"/>
      <c r="X129" s="21046"/>
      <c r="Y129" s="21046"/>
      <c r="Z129" s="21046"/>
      <c r="AA129" s="21046"/>
      <c r="AB129" s="21047"/>
      <c r="AC129" s="21045" t="s">
        <v>633</v>
      </c>
      <c r="AD129" s="21046"/>
      <c r="AE129" s="21046"/>
      <c r="AF129" s="21046"/>
      <c r="AG129" s="21046"/>
      <c r="AH129" s="21046"/>
      <c r="AI129" s="21046"/>
      <c r="AJ129" s="21045"/>
      <c r="AK129" s="21046"/>
      <c r="AL129" s="21046"/>
      <c r="AM129" s="21046"/>
      <c r="AN129" s="21046"/>
      <c r="AO129" s="21046"/>
      <c r="AP129" s="21047"/>
      <c r="AQ129" s="21045"/>
      <c r="AR129" s="21046"/>
      <c r="AS129" s="21046"/>
      <c r="AT129" s="21046"/>
      <c r="AU129" s="21046"/>
      <c r="AV129" s="21046"/>
      <c r="AW129" s="21047"/>
      <c r="AX129" s="21045"/>
      <c r="AY129" s="21046"/>
      <c r="AZ129" s="21046"/>
      <c r="BA129" s="21046"/>
      <c r="BB129" s="21046"/>
      <c r="BC129" s="21046"/>
      <c r="BD129" s="21047"/>
      <c r="BE129" s="21045"/>
      <c r="BF129" s="21046"/>
      <c r="BG129" s="21046"/>
      <c r="BH129" s="21046"/>
      <c r="BI129" s="21046"/>
      <c r="BJ129" s="21046"/>
      <c r="BK129" s="21047"/>
      <c r="BL129" s="21045"/>
      <c r="BM129" s="21046"/>
      <c r="BN129" s="21046"/>
      <c r="BO129" s="21046"/>
      <c r="BP129" s="21046"/>
      <c r="BQ129" s="21046"/>
      <c r="BR129" s="21047"/>
      <c r="BS129" s="21045"/>
      <c r="BT129" s="21046"/>
      <c r="BU129" s="21046"/>
      <c r="BV129" s="21046"/>
      <c r="BW129" s="21046"/>
      <c r="BX129" s="21046"/>
      <c r="BY129" s="21047"/>
      <c r="BZ129" s="21045"/>
      <c r="CA129" s="21046"/>
      <c r="CB129" s="21046"/>
      <c r="CC129" s="21046"/>
      <c r="CD129" s="21046"/>
      <c r="CE129" s="21046"/>
      <c r="CF129" s="21047"/>
      <c r="CG129" s="21045"/>
      <c r="CH129" s="21046"/>
      <c r="CI129" s="21046"/>
      <c r="CJ129" s="21046"/>
      <c r="CK129" s="21046"/>
      <c r="CL129" s="21046"/>
      <c r="CM129" s="21047"/>
      <c r="CN129" s="21045"/>
      <c r="CO129" s="21046"/>
      <c r="CP129" s="21046"/>
      <c r="CQ129" s="21046"/>
      <c r="CR129" s="21046"/>
      <c r="CS129" s="21046"/>
      <c r="CT129" s="21047"/>
      <c r="CU129" s="21047"/>
      <c r="CV129" s="21650" t="s">
        <v>621</v>
      </c>
      <c r="CW129" s="21281"/>
      <c r="CX129" s="21633"/>
      <c r="CY129" s="21633" t="str">
        <f>IF(T129="","",T129)</f>
        <v>Группа потребителей</v>
      </c>
      <c r="CZ129" s="21633"/>
      <c r="DA129" s="21633"/>
      <c r="DB129" s="21020">
        <v>0</v>
      </c>
    </row>
    <row s="54422" customFormat="1" customHeight="1" ht="23.25">
      <c r="A130" s="21621"/>
      <c r="B130" s="21621"/>
      <c r="C130" s="21621"/>
      <c r="D130" s="21621"/>
      <c r="E130" s="21622"/>
      <c r="F130" s="21622"/>
      <c r="G130" s="21622"/>
      <c r="H130" s="21622"/>
      <c r="I130" s="21647"/>
      <c r="J130" s="21647" t="str">
        <f>I124&amp;".1"</f>
        <v>1.5.3.1.1</v>
      </c>
      <c r="K130" s="21638" t="str">
        <f>J129&amp;".1"</f>
        <v>1.5.3.1.2.1</v>
      </c>
      <c r="L130" s="21624"/>
      <c r="M130" s="21639"/>
      <c r="N130" s="21639"/>
      <c r="O130" s="21639"/>
      <c r="P130" s="21640"/>
      <c r="Q130" s="21640"/>
      <c r="R130" s="21648">
        <v>1</v>
      </c>
      <c r="S130" s="21629" t="str">
        <f>$K130</f>
        <v>1.5.3.1.2.1</v>
      </c>
      <c r="T130" s="21652"/>
      <c r="U130" s="21631"/>
      <c r="V130" s="21053"/>
      <c r="W130" s="21053"/>
      <c r="X130" s="21054"/>
      <c r="Y130" s="21055"/>
      <c r="Z130" s="21056" t="s">
        <v>63</v>
      </c>
      <c r="AA130" s="21055"/>
      <c r="AB130" s="21056" t="s">
        <v>63</v>
      </c>
      <c r="AC130" s="21053">
        <v>17.07</v>
      </c>
      <c r="AD130" s="21053"/>
      <c r="AE130" s="21054"/>
      <c r="AF130" s="21055">
        <v>45292.60465277778</v>
      </c>
      <c r="AG130" s="21056" t="s">
        <v>63</v>
      </c>
      <c r="AH130" s="21321">
        <v>45473.60474537037</v>
      </c>
      <c r="AI130" s="21056" t="s">
        <v>63</v>
      </c>
      <c r="AJ130" s="21053">
        <v>22.19</v>
      </c>
      <c r="AK130" s="21053"/>
      <c r="AL130" s="21054"/>
      <c r="AM130" s="21055">
        <v>45474.60528935185</v>
      </c>
      <c r="AN130" s="21056" t="s">
        <v>63</v>
      </c>
      <c r="AO130" s="21055">
        <v>45657.60543981481</v>
      </c>
      <c r="AP130" s="21056" t="s">
        <v>63</v>
      </c>
      <c r="AQ130" s="21053">
        <v>22.19</v>
      </c>
      <c r="AR130" s="21053"/>
      <c r="AS130" s="21054"/>
      <c r="AT130" s="21055">
        <v>45658.60603009259</v>
      </c>
      <c r="AU130" s="21056" t="s">
        <v>63</v>
      </c>
      <c r="AV130" s="21055">
        <v>45838.60628472222</v>
      </c>
      <c r="AW130" s="21056" t="s">
        <v>63</v>
      </c>
      <c r="AX130" s="21053">
        <v>26.48</v>
      </c>
      <c r="AY130" s="21053"/>
      <c r="AZ130" s="21054"/>
      <c r="BA130" s="21055">
        <v>45839.606875</v>
      </c>
      <c r="BB130" s="21056" t="s">
        <v>63</v>
      </c>
      <c r="BC130" s="21055">
        <v>46022.60726851852</v>
      </c>
      <c r="BD130" s="21056" t="s">
        <v>63</v>
      </c>
      <c r="BE130" s="21053">
        <v>24.56</v>
      </c>
      <c r="BF130" s="21053"/>
      <c r="BG130" s="21054"/>
      <c r="BH130" s="21055">
        <v>46023.60780092593</v>
      </c>
      <c r="BI130" s="21056" t="s">
        <v>63</v>
      </c>
      <c r="BJ130" s="21055">
        <v>46203.608090277776</v>
      </c>
      <c r="BK130" s="21056" t="s">
        <v>63</v>
      </c>
      <c r="BL130" s="21053">
        <v>24.56</v>
      </c>
      <c r="BM130" s="21053"/>
      <c r="BN130" s="21054"/>
      <c r="BO130" s="21055">
        <v>46204.60869212963</v>
      </c>
      <c r="BP130" s="21056" t="s">
        <v>63</v>
      </c>
      <c r="BQ130" s="21055">
        <v>46387.61072916666</v>
      </c>
      <c r="BR130" s="21056" t="s">
        <v>63</v>
      </c>
      <c r="BS130" s="21053">
        <v>23.96</v>
      </c>
      <c r="BT130" s="21053"/>
      <c r="BU130" s="21054"/>
      <c r="BV130" s="21055">
        <v>46388.61148148148</v>
      </c>
      <c r="BW130" s="21056" t="s">
        <v>63</v>
      </c>
      <c r="BX130" s="21055">
        <v>46568.611967592595</v>
      </c>
      <c r="BY130" s="21056" t="s">
        <v>63</v>
      </c>
      <c r="BZ130" s="21053">
        <v>23.96</v>
      </c>
      <c r="CA130" s="21053"/>
      <c r="CB130" s="21054"/>
      <c r="CC130" s="21055">
        <v>46569.61263888889</v>
      </c>
      <c r="CD130" s="21056" t="s">
        <v>63</v>
      </c>
      <c r="CE130" s="21055">
        <v>46752.61287037037</v>
      </c>
      <c r="CF130" s="21056" t="s">
        <v>63</v>
      </c>
      <c r="CG130" s="21053">
        <v>23.96</v>
      </c>
      <c r="CH130" s="21053"/>
      <c r="CI130" s="21054"/>
      <c r="CJ130" s="21055">
        <v>46753.61380787037</v>
      </c>
      <c r="CK130" s="21056" t="s">
        <v>63</v>
      </c>
      <c r="CL130" s="21055">
        <v>46934.61405092593</v>
      </c>
      <c r="CM130" s="21056" t="s">
        <v>63</v>
      </c>
      <c r="CN130" s="21053">
        <v>25.79</v>
      </c>
      <c r="CO130" s="21053"/>
      <c r="CP130" s="21054"/>
      <c r="CQ130" s="21055">
        <v>46935.614375</v>
      </c>
      <c r="CR130" s="21056" t="s">
        <v>63</v>
      </c>
      <c r="CS130" s="21055">
        <v>47118.614641203705</v>
      </c>
      <c r="CT130" s="21056" t="s">
        <v>63</v>
      </c>
      <c r="CU130" s="21653"/>
      <c r="CV130"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30" s="21281">
        <f>STRCHECKDATE(V131:CU131)</f>
      </c>
      <c r="CX130" s="21633"/>
      <c r="CY130" s="21633" t="str">
        <f>IF(T130="","",T130)</f>
        <v/>
      </c>
      <c r="CZ130" s="21633"/>
      <c r="DA130" s="21633"/>
      <c r="DB130" s="21020">
        <v>0</v>
      </c>
    </row>
    <row s="54423" customFormat="1" customHeight="1" ht="14.25">
      <c r="A131" s="21621"/>
      <c r="B131" s="21621"/>
      <c r="C131" s="21621"/>
      <c r="D131" s="21621"/>
      <c r="E131" s="21622"/>
      <c r="F131" s="21622"/>
      <c r="G131" s="21622"/>
      <c r="H131" s="21622"/>
      <c r="I131" s="21647"/>
      <c r="J131" s="21647" t="str">
        <f>I124&amp;".1"</f>
        <v>1.5.3.1.1</v>
      </c>
      <c r="K131" s="21638"/>
      <c r="L131" s="21624"/>
      <c r="M131" s="21639"/>
      <c r="N131" s="21639"/>
      <c r="O131" s="21639"/>
      <c r="P131" s="21640"/>
      <c r="Q131" s="21640"/>
      <c r="R131" s="21648"/>
      <c r="S131" s="21656"/>
      <c r="T131" s="21631"/>
      <c r="U131" s="21631"/>
      <c r="V131" s="21063"/>
      <c r="W131" s="21063"/>
      <c r="X131" s="21064" t="str">
        <f>Y130&amp;"-"&amp;AA130</f>
        <v>-</v>
      </c>
      <c r="Y131" s="21065"/>
      <c r="Z131" s="21056"/>
      <c r="AA131" s="21065"/>
      <c r="AB131" s="21056"/>
      <c r="AC131" s="21063"/>
      <c r="AD131" s="21063"/>
      <c r="AE131" s="21064" t="str">
        <f>AF130&amp;"-"&amp;AH130</f>
        <v>45292.60465277778-45473.60474537037</v>
      </c>
      <c r="AF131" s="21065"/>
      <c r="AG131" s="21056"/>
      <c r="AH131" s="21324"/>
      <c r="AI131" s="21056"/>
      <c r="AJ131" s="21063"/>
      <c r="AK131" s="21063"/>
      <c r="AL131" s="21064" t="str">
        <f>AM130&amp;"-"&amp;AO130</f>
        <v>45474.60528935185-45657.60543981481</v>
      </c>
      <c r="AM131" s="21065"/>
      <c r="AN131" s="21056"/>
      <c r="AO131" s="21065"/>
      <c r="AP131" s="21056"/>
      <c r="AQ131" s="21063"/>
      <c r="AR131" s="21063"/>
      <c r="AS131" s="21064" t="str">
        <f>AT130&amp;"-"&amp;AV130</f>
        <v>45658.60603009259-45838.60628472222</v>
      </c>
      <c r="AT131" s="21065"/>
      <c r="AU131" s="21056"/>
      <c r="AV131" s="21065"/>
      <c r="AW131" s="21056"/>
      <c r="AX131" s="21063"/>
      <c r="AY131" s="21063"/>
      <c r="AZ131" s="21064" t="str">
        <f>BA130&amp;"-"&amp;BC130</f>
        <v>45839.606875-46022.60726851852</v>
      </c>
      <c r="BA131" s="21065"/>
      <c r="BB131" s="21056"/>
      <c r="BC131" s="21065"/>
      <c r="BD131" s="21056"/>
      <c r="BE131" s="21063"/>
      <c r="BF131" s="21063"/>
      <c r="BG131" s="21064" t="str">
        <f>BH130&amp;"-"&amp;BJ130</f>
        <v>46023.60780092593-46203.608090277776</v>
      </c>
      <c r="BH131" s="21065"/>
      <c r="BI131" s="21056"/>
      <c r="BJ131" s="21065"/>
      <c r="BK131" s="21056"/>
      <c r="BL131" s="21063"/>
      <c r="BM131" s="21063"/>
      <c r="BN131" s="21064" t="str">
        <f>BO130&amp;"-"&amp;BQ130</f>
        <v>46204.60869212963-46387.61072916666</v>
      </c>
      <c r="BO131" s="21065"/>
      <c r="BP131" s="21056"/>
      <c r="BQ131" s="21065"/>
      <c r="BR131" s="21056"/>
      <c r="BS131" s="21063"/>
      <c r="BT131" s="21063"/>
      <c r="BU131" s="21064" t="str">
        <f>BV130&amp;"-"&amp;BX130</f>
        <v>46388.61148148148-46568.611967592595</v>
      </c>
      <c r="BV131" s="21065"/>
      <c r="BW131" s="21056"/>
      <c r="BX131" s="21065"/>
      <c r="BY131" s="21056"/>
      <c r="BZ131" s="21063"/>
      <c r="CA131" s="21063"/>
      <c r="CB131" s="21064" t="str">
        <f>CC130&amp;"-"&amp;CE130</f>
        <v>46569.61263888889-46752.61287037037</v>
      </c>
      <c r="CC131" s="21065"/>
      <c r="CD131" s="21056"/>
      <c r="CE131" s="21065"/>
      <c r="CF131" s="21056"/>
      <c r="CG131" s="21063"/>
      <c r="CH131" s="21063"/>
      <c r="CI131" s="21064" t="str">
        <f>CJ130&amp;"-"&amp;CL130</f>
        <v>46753.61380787037-46934.61405092593</v>
      </c>
      <c r="CJ131" s="21065"/>
      <c r="CK131" s="21056"/>
      <c r="CL131" s="21065"/>
      <c r="CM131" s="21056"/>
      <c r="CN131" s="21063"/>
      <c r="CO131" s="21063"/>
      <c r="CP131" s="21064" t="str">
        <f>CQ130&amp;"-"&amp;CS130</f>
        <v>46935.614375-47118.614641203705</v>
      </c>
      <c r="CQ131" s="21065"/>
      <c r="CR131" s="21056"/>
      <c r="CS131" s="21065"/>
      <c r="CT131" s="21056"/>
      <c r="CU131" s="21657"/>
      <c r="CV131" s="21654"/>
      <c r="CW131" s="21281"/>
      <c r="CX131" s="21633"/>
      <c r="CY131" s="21633" t="str">
        <f>IF(T131="","",T131)</f>
        <v/>
      </c>
      <c r="CZ131" s="21633"/>
      <c r="DA131" s="21633"/>
      <c r="DB131" s="21020">
        <v>0</v>
      </c>
    </row>
    <row s="54424" customFormat="1" customHeight="1" ht="21">
      <c r="A132" s="21621"/>
      <c r="B132" s="21621"/>
      <c r="C132" s="21621"/>
      <c r="D132" s="21621"/>
      <c r="E132" s="21622"/>
      <c r="F132" s="21622"/>
      <c r="G132" s="21622"/>
      <c r="H132" s="21622"/>
      <c r="I132" s="21647"/>
      <c r="J132" s="21638" t="str">
        <f>I124&amp;".1"</f>
        <v>1.5.3.1.1</v>
      </c>
      <c r="K132" s="21621"/>
      <c r="L132" s="21624"/>
      <c r="M132" s="21639"/>
      <c r="N132" s="21639"/>
      <c r="O132" s="21639"/>
      <c r="P132" s="21640"/>
      <c r="Q132" s="21640"/>
      <c r="R132" s="21641"/>
      <c r="S132" s="23451"/>
      <c r="T132" s="23452" t="s">
        <v>622</v>
      </c>
      <c r="U132" s="23453"/>
      <c r="V132" s="23454"/>
      <c r="W132" s="23455"/>
      <c r="X132" s="23456"/>
      <c r="Y132" s="23457"/>
      <c r="Z132" s="23458"/>
      <c r="AA132" s="23459"/>
      <c r="AB132" s="23460"/>
      <c r="AC132" s="23461"/>
      <c r="AD132" s="23462"/>
      <c r="AE132" s="23463"/>
      <c r="AF132" s="23464"/>
      <c r="AG132" s="23465"/>
      <c r="AH132" s="23466"/>
      <c r="AI132" s="23467"/>
      <c r="AJ132" s="23468"/>
      <c r="AK132" s="23469"/>
      <c r="AL132" s="23470"/>
      <c r="AM132" s="23471"/>
      <c r="AN132" s="23472"/>
      <c r="AO132" s="23473"/>
      <c r="AP132" s="23474"/>
      <c r="AQ132" s="23475"/>
      <c r="AR132" s="23476"/>
      <c r="AS132" s="23477"/>
      <c r="AT132" s="23478"/>
      <c r="AU132" s="23479"/>
      <c r="AV132" s="23480"/>
      <c r="AW132" s="23481"/>
      <c r="AX132" s="23482"/>
      <c r="AY132" s="23483"/>
      <c r="AZ132" s="23484"/>
      <c r="BA132" s="23485"/>
      <c r="BB132" s="23486"/>
      <c r="BC132" s="23487"/>
      <c r="BD132" s="23488"/>
      <c r="BE132" s="23489"/>
      <c r="BF132" s="23490"/>
      <c r="BG132" s="23491"/>
      <c r="BH132" s="23492"/>
      <c r="BI132" s="23493"/>
      <c r="BJ132" s="23494"/>
      <c r="BK132" s="23495"/>
      <c r="BL132" s="23496"/>
      <c r="BM132" s="23497"/>
      <c r="BN132" s="23498"/>
      <c r="BO132" s="23499"/>
      <c r="BP132" s="23500"/>
      <c r="BQ132" s="23501"/>
      <c r="BR132" s="23502"/>
      <c r="BS132" s="23503"/>
      <c r="BT132" s="23504"/>
      <c r="BU132" s="23505"/>
      <c r="BV132" s="23506"/>
      <c r="BW132" s="23507"/>
      <c r="BX132" s="23508"/>
      <c r="BY132" s="23509"/>
      <c r="BZ132" s="23510"/>
      <c r="CA132" s="23511"/>
      <c r="CB132" s="23512"/>
      <c r="CC132" s="23513"/>
      <c r="CD132" s="23514"/>
      <c r="CE132" s="23515"/>
      <c r="CF132" s="23516"/>
      <c r="CG132" s="23517"/>
      <c r="CH132" s="23518"/>
      <c r="CI132" s="23519"/>
      <c r="CJ132" s="23520"/>
      <c r="CK132" s="23521"/>
      <c r="CL132" s="23522"/>
      <c r="CM132" s="23523"/>
      <c r="CN132" s="23524"/>
      <c r="CO132" s="23525"/>
      <c r="CP132" s="23526"/>
      <c r="CQ132" s="23527"/>
      <c r="CR132" s="23528"/>
      <c r="CS132" s="23529"/>
      <c r="CT132" s="23530"/>
      <c r="CU132" s="23531"/>
      <c r="CV132" s="21632" t="s">
        <v>623</v>
      </c>
      <c r="CW132" s="21281"/>
      <c r="CX132" s="21633"/>
      <c r="CY132" s="21633" t="str">
        <f>IF(T132="","",T132)</f>
        <v>Добавить значение признака дифференциации</v>
      </c>
      <c r="CZ132" s="21633"/>
      <c r="DA132" s="21633"/>
      <c r="DB132" s="21020">
        <v>0</v>
      </c>
    </row>
    <row s="54506" customFormat="1" customHeight="1" ht="21">
      <c r="A133" s="21621"/>
      <c r="B133" s="21621"/>
      <c r="C133" s="21621"/>
      <c r="D133" s="21621"/>
      <c r="E133" s="21622"/>
      <c r="F133" s="21622"/>
      <c r="G133" s="21622" t="s">
        <v>105</v>
      </c>
      <c r="H133" s="21622"/>
      <c r="I133" s="21638"/>
      <c r="J133" s="21621"/>
      <c r="K133" s="21621"/>
      <c r="L133" s="21624"/>
      <c r="M133" s="21639"/>
      <c r="N133" s="21639"/>
      <c r="O133" s="21639"/>
      <c r="P133" s="21640"/>
      <c r="Q133" s="21640"/>
      <c r="R133" s="21641"/>
      <c r="S133" s="23533"/>
      <c r="T133" s="23534" t="s">
        <v>551</v>
      </c>
      <c r="U133" s="23535"/>
      <c r="V133" s="23536"/>
      <c r="W133" s="23537"/>
      <c r="X133" s="23538"/>
      <c r="Y133" s="23539"/>
      <c r="Z133" s="23540"/>
      <c r="AA133" s="23541"/>
      <c r="AB133" s="23542"/>
      <c r="AC133" s="23543"/>
      <c r="AD133" s="23544"/>
      <c r="AE133" s="23545"/>
      <c r="AF133" s="23546"/>
      <c r="AG133" s="23547"/>
      <c r="AH133" s="23548"/>
      <c r="AI133" s="23549"/>
      <c r="AJ133" s="23550"/>
      <c r="AK133" s="23551"/>
      <c r="AL133" s="23552"/>
      <c r="AM133" s="23553"/>
      <c r="AN133" s="23554"/>
      <c r="AO133" s="23555"/>
      <c r="AP133" s="23556"/>
      <c r="AQ133" s="23557"/>
      <c r="AR133" s="23558"/>
      <c r="AS133" s="23559"/>
      <c r="AT133" s="23560"/>
      <c r="AU133" s="23561"/>
      <c r="AV133" s="23562"/>
      <c r="AW133" s="23563"/>
      <c r="AX133" s="23564"/>
      <c r="AY133" s="23565"/>
      <c r="AZ133" s="23566"/>
      <c r="BA133" s="23567"/>
      <c r="BB133" s="23568"/>
      <c r="BC133" s="23569"/>
      <c r="BD133" s="23570"/>
      <c r="BE133" s="23571"/>
      <c r="BF133" s="23572"/>
      <c r="BG133" s="23573"/>
      <c r="BH133" s="23574"/>
      <c r="BI133" s="23575"/>
      <c r="BJ133" s="23576"/>
      <c r="BK133" s="23577"/>
      <c r="BL133" s="23578"/>
      <c r="BM133" s="23579"/>
      <c r="BN133" s="23580"/>
      <c r="BO133" s="23581"/>
      <c r="BP133" s="23582"/>
      <c r="BQ133" s="23583"/>
      <c r="BR133" s="23584"/>
      <c r="BS133" s="23585"/>
      <c r="BT133" s="23586"/>
      <c r="BU133" s="23587"/>
      <c r="BV133" s="23588"/>
      <c r="BW133" s="23589"/>
      <c r="BX133" s="23590"/>
      <c r="BY133" s="23591"/>
      <c r="BZ133" s="23592"/>
      <c r="CA133" s="23593"/>
      <c r="CB133" s="23594"/>
      <c r="CC133" s="23595"/>
      <c r="CD133" s="23596"/>
      <c r="CE133" s="23597"/>
      <c r="CF133" s="23598"/>
      <c r="CG133" s="23599"/>
      <c r="CH133" s="23600"/>
      <c r="CI133" s="23601"/>
      <c r="CJ133" s="23602"/>
      <c r="CK133" s="23603"/>
      <c r="CL133" s="23604"/>
      <c r="CM133" s="23605"/>
      <c r="CN133" s="23606"/>
      <c r="CO133" s="23607"/>
      <c r="CP133" s="23608"/>
      <c r="CQ133" s="23609"/>
      <c r="CR133" s="23610"/>
      <c r="CS133" s="23611"/>
      <c r="CT133" s="23612"/>
      <c r="CU133" s="23613"/>
      <c r="CV133" s="23614"/>
      <c r="CW133" s="21281"/>
      <c r="CX133" s="21633"/>
      <c r="CY133" s="21633" t="str">
        <f>IF(T133="","",T133)</f>
        <v>Добавить группу потребителей</v>
      </c>
      <c r="CZ133" s="21633"/>
      <c r="DA133" s="21633"/>
      <c r="DB133" s="21020">
        <v>0</v>
      </c>
    </row>
    <row s="54589" customFormat="1" customHeight="1" ht="14.25">
      <c r="A134" s="21621"/>
      <c r="B134" s="21621"/>
      <c r="C134" s="21621"/>
      <c r="D134" s="21621"/>
      <c r="E134" s="21622"/>
      <c r="F134" s="21622"/>
      <c r="G134" s="21622" t="s">
        <v>105</v>
      </c>
      <c r="H134" s="21623"/>
      <c r="I134" s="21621"/>
      <c r="J134" s="21621"/>
      <c r="K134" s="21621"/>
      <c r="L134" s="21624"/>
      <c r="M134" s="21625"/>
      <c r="N134" s="21625"/>
      <c r="O134" s="21264"/>
      <c r="P134" s="21910"/>
      <c r="Q134" s="21911"/>
      <c r="R134" s="21912"/>
      <c r="S134" s="23616"/>
      <c r="T134" s="23617" t="s">
        <v>624</v>
      </c>
      <c r="U134" s="23618"/>
      <c r="V134" s="23619"/>
      <c r="W134" s="23620"/>
      <c r="X134" s="23621"/>
      <c r="Y134" s="23622"/>
      <c r="Z134" s="23623"/>
      <c r="AA134" s="23624"/>
      <c r="AB134" s="23625"/>
      <c r="AC134" s="23626"/>
      <c r="AD134" s="23627"/>
      <c r="AE134" s="23628"/>
      <c r="AF134" s="23629"/>
      <c r="AG134" s="23630"/>
      <c r="AH134" s="23631"/>
      <c r="AI134" s="23632"/>
      <c r="AJ134" s="23633"/>
      <c r="AK134" s="23634"/>
      <c r="AL134" s="23635"/>
      <c r="AM134" s="23636"/>
      <c r="AN134" s="23637"/>
      <c r="AO134" s="23638"/>
      <c r="AP134" s="23639"/>
      <c r="AQ134" s="23640"/>
      <c r="AR134" s="23641"/>
      <c r="AS134" s="23642"/>
      <c r="AT134" s="23643"/>
      <c r="AU134" s="23644"/>
      <c r="AV134" s="23645"/>
      <c r="AW134" s="23646"/>
      <c r="AX134" s="23647"/>
      <c r="AY134" s="23648"/>
      <c r="AZ134" s="23649"/>
      <c r="BA134" s="23650"/>
      <c r="BB134" s="23651"/>
      <c r="BC134" s="23652"/>
      <c r="BD134" s="23653"/>
      <c r="BE134" s="23654"/>
      <c r="BF134" s="23655"/>
      <c r="BG134" s="23656"/>
      <c r="BH134" s="23657"/>
      <c r="BI134" s="23658"/>
      <c r="BJ134" s="23659"/>
      <c r="BK134" s="23660"/>
      <c r="BL134" s="23661"/>
      <c r="BM134" s="23662"/>
      <c r="BN134" s="23663"/>
      <c r="BO134" s="23664"/>
      <c r="BP134" s="23665"/>
      <c r="BQ134" s="23666"/>
      <c r="BR134" s="23667"/>
      <c r="BS134" s="23668"/>
      <c r="BT134" s="23669"/>
      <c r="BU134" s="23670"/>
      <c r="BV134" s="23671"/>
      <c r="BW134" s="23672"/>
      <c r="BX134" s="23673"/>
      <c r="BY134" s="23674"/>
      <c r="BZ134" s="23675"/>
      <c r="CA134" s="23676"/>
      <c r="CB134" s="23677"/>
      <c r="CC134" s="23678"/>
      <c r="CD134" s="23679"/>
      <c r="CE134" s="23680"/>
      <c r="CF134" s="23681"/>
      <c r="CG134" s="23682"/>
      <c r="CH134" s="23683"/>
      <c r="CI134" s="23684"/>
      <c r="CJ134" s="23685"/>
      <c r="CK134" s="23686"/>
      <c r="CL134" s="23687"/>
      <c r="CM134" s="23688"/>
      <c r="CN134" s="23689"/>
      <c r="CO134" s="23690"/>
      <c r="CP134" s="23691"/>
      <c r="CQ134" s="23692"/>
      <c r="CR134" s="23693"/>
      <c r="CS134" s="23694"/>
      <c r="CT134" s="23695"/>
      <c r="CU134" s="23696"/>
      <c r="CV134" s="23697"/>
      <c r="CW134" s="21281"/>
      <c r="CX134" s="21633"/>
      <c r="CY134" s="21633" t="str">
        <f>IF(T134="","",T134)</f>
        <v>Добавить наименование признака дифференциации</v>
      </c>
      <c r="CZ134" s="21633"/>
      <c r="DA134" s="21633"/>
      <c r="DB134" s="21020">
        <v>0</v>
      </c>
    </row>
    <row s="54672" customFormat="1" customHeight="1" ht="23.25">
      <c r="A135" s="21621"/>
      <c r="B135" s="21621"/>
      <c r="C135" s="21621" t="s">
        <v>314</v>
      </c>
      <c r="D135" s="21621"/>
      <c r="E135" s="21622"/>
      <c r="F135" s="21622"/>
      <c r="G135" s="21623" t="s">
        <v>93</v>
      </c>
      <c r="H135" s="21621"/>
      <c r="I135" s="21621"/>
      <c r="J135" s="21621"/>
      <c r="K135" s="21621"/>
      <c r="L135" s="21624"/>
      <c r="M135" s="21625"/>
      <c r="N135" s="21625"/>
      <c r="O135" s="21625"/>
      <c r="P135" s="21635"/>
      <c r="Q135" s="21627"/>
      <c r="R135" s="21628"/>
      <c r="S135" s="21629" t="str">
        <f>INDEX(PT_DIFFERENTIATION_NUM_CS,MATCH(C135,PT_DIFFERENTIATION_CS_ID,0))</f>
        <v>1.5.4</v>
      </c>
      <c r="T135" s="21636" t="s">
        <v>617</v>
      </c>
      <c r="U135" s="21631"/>
      <c r="V135" s="21025"/>
      <c r="W135" s="21026"/>
      <c r="X135" s="21026"/>
      <c r="Y135" s="21026"/>
      <c r="Z135" s="21026"/>
      <c r="AA135" s="21026"/>
      <c r="AB135" s="21027"/>
      <c r="AC135" s="21025" t="str">
        <f>INDEX(PT_DIFFERENTIATION_CS,MATCH(C135,PT_DIFFERENTIATION_CS_ID,0))</f>
        <v>пгт. Приморский</v>
      </c>
      <c r="AD135" s="21026"/>
      <c r="AE135" s="21026"/>
      <c r="AF135" s="21026"/>
      <c r="AG135" s="21026"/>
      <c r="AH135" s="21026"/>
      <c r="AI135" s="21026"/>
      <c r="AJ135" s="21025"/>
      <c r="AK135" s="21026"/>
      <c r="AL135" s="21026"/>
      <c r="AM135" s="21026"/>
      <c r="AN135" s="21026"/>
      <c r="AO135" s="21026"/>
      <c r="AP135" s="21027"/>
      <c r="AQ135" s="21025"/>
      <c r="AR135" s="21026"/>
      <c r="AS135" s="21026"/>
      <c r="AT135" s="21026"/>
      <c r="AU135" s="21026"/>
      <c r="AV135" s="21026"/>
      <c r="AW135" s="21027"/>
      <c r="AX135" s="21025"/>
      <c r="AY135" s="21026"/>
      <c r="AZ135" s="21026"/>
      <c r="BA135" s="21026"/>
      <c r="BB135" s="21026"/>
      <c r="BC135" s="21026"/>
      <c r="BD135" s="21027"/>
      <c r="BE135" s="21025"/>
      <c r="BF135" s="21026"/>
      <c r="BG135" s="21026"/>
      <c r="BH135" s="21026"/>
      <c r="BI135" s="21026"/>
      <c r="BJ135" s="21026"/>
      <c r="BK135" s="21027"/>
      <c r="BL135" s="21025"/>
      <c r="BM135" s="21026"/>
      <c r="BN135" s="21026"/>
      <c r="BO135" s="21026"/>
      <c r="BP135" s="21026"/>
      <c r="BQ135" s="21026"/>
      <c r="BR135" s="21027"/>
      <c r="BS135" s="21025"/>
      <c r="BT135" s="21026"/>
      <c r="BU135" s="21026"/>
      <c r="BV135" s="21026"/>
      <c r="BW135" s="21026"/>
      <c r="BX135" s="21026"/>
      <c r="BY135" s="21027"/>
      <c r="BZ135" s="21025"/>
      <c r="CA135" s="21026"/>
      <c r="CB135" s="21026"/>
      <c r="CC135" s="21026"/>
      <c r="CD135" s="21026"/>
      <c r="CE135" s="21026"/>
      <c r="CF135" s="21027"/>
      <c r="CG135" s="21025"/>
      <c r="CH135" s="21026"/>
      <c r="CI135" s="21026"/>
      <c r="CJ135" s="21026"/>
      <c r="CK135" s="21026"/>
      <c r="CL135" s="21026"/>
      <c r="CM135" s="21027"/>
      <c r="CN135" s="21025"/>
      <c r="CO135" s="21026"/>
      <c r="CP135" s="21026"/>
      <c r="CQ135" s="21026"/>
      <c r="CR135" s="21026"/>
      <c r="CS135" s="21026"/>
      <c r="CT135" s="21027"/>
      <c r="CU135" s="21027"/>
      <c r="CV135" s="21632" t="s">
        <v>618</v>
      </c>
      <c r="CW135" s="21281"/>
      <c r="CX135" s="21633"/>
      <c r="CY135" s="21633" t="str">
        <f>IF(T135="","",T135)</f>
        <v>Наименование централизованной системы холодного водоснабжения</v>
      </c>
      <c r="CZ135" s="21633"/>
      <c r="DA135" s="21633"/>
      <c r="DB135" s="21020">
        <v>0</v>
      </c>
    </row>
    <row s="54673" customFormat="1" customHeight="1" ht="23.25">
      <c r="A136" s="21621"/>
      <c r="B136" s="21621"/>
      <c r="C136" s="21621"/>
      <c r="D136" s="21621"/>
      <c r="E136" s="21622"/>
      <c r="F136" s="21622"/>
      <c r="G136" s="21622" t="s">
        <v>92</v>
      </c>
      <c r="H136" s="21622"/>
      <c r="I136" s="21638" t="str">
        <f>S135&amp;".1"</f>
        <v>1.5.4.1</v>
      </c>
      <c r="J136" s="21621"/>
      <c r="K136" s="21621"/>
      <c r="L136" s="21624"/>
      <c r="M136" s="21639"/>
      <c r="N136" s="21639"/>
      <c r="O136" s="21639"/>
      <c r="P136" s="21640">
        <v>1</v>
      </c>
      <c r="Q136" s="21640"/>
      <c r="R136" s="21641"/>
      <c r="S136" s="21629" t="str">
        <f>$I136</f>
        <v>1.5.4.1</v>
      </c>
      <c r="T136" s="21642" t="s">
        <v>619</v>
      </c>
      <c r="U136" s="21631"/>
      <c r="V136" s="21038"/>
      <c r="W136" s="21039"/>
      <c r="X136" s="21039"/>
      <c r="Y136" s="21039"/>
      <c r="Z136" s="21039"/>
      <c r="AA136" s="21039"/>
      <c r="AB136" s="21040"/>
      <c r="AC136" s="21643"/>
      <c r="AD136" s="21644"/>
      <c r="AE136" s="21644"/>
      <c r="AF136" s="21644"/>
      <c r="AG136" s="21644"/>
      <c r="AH136" s="21644"/>
      <c r="AI136" s="21644"/>
      <c r="AJ136" s="21038"/>
      <c r="AK136" s="21039"/>
      <c r="AL136" s="21039"/>
      <c r="AM136" s="21039"/>
      <c r="AN136" s="21039"/>
      <c r="AO136" s="21039"/>
      <c r="AP136" s="21040"/>
      <c r="AQ136" s="21038"/>
      <c r="AR136" s="21039"/>
      <c r="AS136" s="21039"/>
      <c r="AT136" s="21039"/>
      <c r="AU136" s="21039"/>
      <c r="AV136" s="21039"/>
      <c r="AW136" s="21040"/>
      <c r="AX136" s="21038"/>
      <c r="AY136" s="21039"/>
      <c r="AZ136" s="21039"/>
      <c r="BA136" s="21039"/>
      <c r="BB136" s="21039"/>
      <c r="BC136" s="21039"/>
      <c r="BD136" s="21040"/>
      <c r="BE136" s="21038"/>
      <c r="BF136" s="21039"/>
      <c r="BG136" s="21039"/>
      <c r="BH136" s="21039"/>
      <c r="BI136" s="21039"/>
      <c r="BJ136" s="21039"/>
      <c r="BK136" s="21040"/>
      <c r="BL136" s="21038"/>
      <c r="BM136" s="21039"/>
      <c r="BN136" s="21039"/>
      <c r="BO136" s="21039"/>
      <c r="BP136" s="21039"/>
      <c r="BQ136" s="21039"/>
      <c r="BR136" s="21040"/>
      <c r="BS136" s="21038"/>
      <c r="BT136" s="21039"/>
      <c r="BU136" s="21039"/>
      <c r="BV136" s="21039"/>
      <c r="BW136" s="21039"/>
      <c r="BX136" s="21039"/>
      <c r="BY136" s="21040"/>
      <c r="BZ136" s="21038"/>
      <c r="CA136" s="21039"/>
      <c r="CB136" s="21039"/>
      <c r="CC136" s="21039"/>
      <c r="CD136" s="21039"/>
      <c r="CE136" s="21039"/>
      <c r="CF136" s="21040"/>
      <c r="CG136" s="21038"/>
      <c r="CH136" s="21039"/>
      <c r="CI136" s="21039"/>
      <c r="CJ136" s="21039"/>
      <c r="CK136" s="21039"/>
      <c r="CL136" s="21039"/>
      <c r="CM136" s="21040"/>
      <c r="CN136" s="21038"/>
      <c r="CO136" s="21039"/>
      <c r="CP136" s="21039"/>
      <c r="CQ136" s="21039"/>
      <c r="CR136" s="21039"/>
      <c r="CS136" s="21039"/>
      <c r="CT136" s="21040"/>
      <c r="CU136" s="21645"/>
      <c r="CV136" s="21632" t="s">
        <v>620</v>
      </c>
      <c r="CW136" s="21281"/>
      <c r="CX136" s="21633"/>
      <c r="CY136" s="21633" t="str">
        <f>IF(T136="","",T136)</f>
        <v>Наименование признака дифференциации</v>
      </c>
      <c r="CZ136" s="21633"/>
      <c r="DA136" s="21633"/>
      <c r="DB136" s="21020">
        <v>0</v>
      </c>
    </row>
    <row s="54674" customFormat="1" customHeight="1" ht="23.25">
      <c r="A137" s="21621"/>
      <c r="B137" s="21621"/>
      <c r="C137" s="21621"/>
      <c r="D137" s="21621"/>
      <c r="E137" s="21622"/>
      <c r="F137" s="21622"/>
      <c r="G137" s="21622" t="s">
        <v>92</v>
      </c>
      <c r="H137" s="21622"/>
      <c r="I137" s="21647"/>
      <c r="J137" s="21638" t="str">
        <f>I136&amp;".1"</f>
        <v>1.5.4.1.1</v>
      </c>
      <c r="K137" s="21621"/>
      <c r="L137" s="21624" t="s">
        <v>545</v>
      </c>
      <c r="M137" s="21639"/>
      <c r="N137" s="21639"/>
      <c r="O137" s="21639"/>
      <c r="P137" s="21640"/>
      <c r="Q137" s="21640">
        <v>1</v>
      </c>
      <c r="R137" s="21648"/>
      <c r="S137" s="21629" t="str">
        <f>$J137</f>
        <v>1.5.4.1.1</v>
      </c>
      <c r="T137" s="21649" t="s">
        <v>546</v>
      </c>
      <c r="U137" s="21631"/>
      <c r="V137" s="21045"/>
      <c r="W137" s="21046"/>
      <c r="X137" s="21046"/>
      <c r="Y137" s="21046"/>
      <c r="Z137" s="21046"/>
      <c r="AA137" s="21046"/>
      <c r="AB137" s="21047"/>
      <c r="AC137" s="21045" t="s">
        <v>632</v>
      </c>
      <c r="AD137" s="21046"/>
      <c r="AE137" s="21046"/>
      <c r="AF137" s="21046"/>
      <c r="AG137" s="21046"/>
      <c r="AH137" s="21046"/>
      <c r="AI137" s="21046"/>
      <c r="AJ137" s="21045"/>
      <c r="AK137" s="21046"/>
      <c r="AL137" s="21046"/>
      <c r="AM137" s="21046"/>
      <c r="AN137" s="21046"/>
      <c r="AO137" s="21046"/>
      <c r="AP137" s="21047"/>
      <c r="AQ137" s="21045"/>
      <c r="AR137" s="21046"/>
      <c r="AS137" s="21046"/>
      <c r="AT137" s="21046"/>
      <c r="AU137" s="21046"/>
      <c r="AV137" s="21046"/>
      <c r="AW137" s="21047"/>
      <c r="AX137" s="21045"/>
      <c r="AY137" s="21046"/>
      <c r="AZ137" s="21046"/>
      <c r="BA137" s="21046"/>
      <c r="BB137" s="21046"/>
      <c r="BC137" s="21046"/>
      <c r="BD137" s="21047"/>
      <c r="BE137" s="21045"/>
      <c r="BF137" s="21046"/>
      <c r="BG137" s="21046"/>
      <c r="BH137" s="21046"/>
      <c r="BI137" s="21046"/>
      <c r="BJ137" s="21046"/>
      <c r="BK137" s="21047"/>
      <c r="BL137" s="21045"/>
      <c r="BM137" s="21046"/>
      <c r="BN137" s="21046"/>
      <c r="BO137" s="21046"/>
      <c r="BP137" s="21046"/>
      <c r="BQ137" s="21046"/>
      <c r="BR137" s="21047"/>
      <c r="BS137" s="21045"/>
      <c r="BT137" s="21046"/>
      <c r="BU137" s="21046"/>
      <c r="BV137" s="21046"/>
      <c r="BW137" s="21046"/>
      <c r="BX137" s="21046"/>
      <c r="BY137" s="21047"/>
      <c r="BZ137" s="21045"/>
      <c r="CA137" s="21046"/>
      <c r="CB137" s="21046"/>
      <c r="CC137" s="21046"/>
      <c r="CD137" s="21046"/>
      <c r="CE137" s="21046"/>
      <c r="CF137" s="21047"/>
      <c r="CG137" s="21045"/>
      <c r="CH137" s="21046"/>
      <c r="CI137" s="21046"/>
      <c r="CJ137" s="21046"/>
      <c r="CK137" s="21046"/>
      <c r="CL137" s="21046"/>
      <c r="CM137" s="21047"/>
      <c r="CN137" s="21045"/>
      <c r="CO137" s="21046"/>
      <c r="CP137" s="21046"/>
      <c r="CQ137" s="21046"/>
      <c r="CR137" s="21046"/>
      <c r="CS137" s="21046"/>
      <c r="CT137" s="21047"/>
      <c r="CU137" s="21047"/>
      <c r="CV137" s="21650" t="s">
        <v>621</v>
      </c>
      <c r="CW137" s="21281"/>
      <c r="CX137" s="21633"/>
      <c r="CY137" s="21633" t="str">
        <f>IF(T137="","",T137)</f>
        <v>Группа потребителей</v>
      </c>
      <c r="CZ137" s="21633"/>
      <c r="DA137" s="21633"/>
      <c r="DB137" s="21020">
        <v>0</v>
      </c>
    </row>
    <row s="54675" customFormat="1" customHeight="1" ht="23.25">
      <c r="A138" s="21621"/>
      <c r="B138" s="21621"/>
      <c r="C138" s="21621"/>
      <c r="D138" s="21621"/>
      <c r="E138" s="21622"/>
      <c r="F138" s="21622"/>
      <c r="G138" s="21622" t="s">
        <v>92</v>
      </c>
      <c r="H138" s="21622"/>
      <c r="I138" s="21647"/>
      <c r="J138" s="21647"/>
      <c r="K138" s="21638" t="str">
        <f>J137&amp;".1"</f>
        <v>1.5.4.1.1.1</v>
      </c>
      <c r="L138" s="21624"/>
      <c r="M138" s="21639"/>
      <c r="N138" s="21639"/>
      <c r="O138" s="21639"/>
      <c r="P138" s="21640"/>
      <c r="Q138" s="21640"/>
      <c r="R138" s="21648">
        <v>1</v>
      </c>
      <c r="S138" s="21629" t="str">
        <f>$K138</f>
        <v>1.5.4.1.1.1</v>
      </c>
      <c r="T138" s="21652"/>
      <c r="U138" s="21631"/>
      <c r="V138" s="21053"/>
      <c r="W138" s="21053"/>
      <c r="X138" s="21054"/>
      <c r="Y138" s="21055"/>
      <c r="Z138" s="21056" t="s">
        <v>63</v>
      </c>
      <c r="AA138" s="21055"/>
      <c r="AB138" s="21056" t="s">
        <v>63</v>
      </c>
      <c r="AC138" s="21053">
        <v>27.79</v>
      </c>
      <c r="AD138" s="21053"/>
      <c r="AE138" s="21054"/>
      <c r="AF138" s="33020">
        <v>45292.6521875</v>
      </c>
      <c r="AG138" s="21056" t="s">
        <v>63</v>
      </c>
      <c r="AH138" s="33021">
        <v>45473.65241898148</v>
      </c>
      <c r="AI138" s="21056" t="s">
        <v>63</v>
      </c>
      <c r="AJ138" s="21053">
        <v>36.13</v>
      </c>
      <c r="AK138" s="21053"/>
      <c r="AL138" s="21054"/>
      <c r="AM138" s="33020">
        <v>45474.65300925926</v>
      </c>
      <c r="AN138" s="21056" t="s">
        <v>63</v>
      </c>
      <c r="AO138" s="33020">
        <v>45657.653275462966</v>
      </c>
      <c r="AP138" s="21056" t="s">
        <v>63</v>
      </c>
      <c r="AQ138" s="21053">
        <v>36.13</v>
      </c>
      <c r="AR138" s="21053"/>
      <c r="AS138" s="21054"/>
      <c r="AT138" s="33020">
        <v>45658.65356481481</v>
      </c>
      <c r="AU138" s="21056" t="s">
        <v>63</v>
      </c>
      <c r="AV138" s="33020">
        <v>45838.65383101852</v>
      </c>
      <c r="AW138" s="21056" t="s">
        <v>63</v>
      </c>
      <c r="AX138" s="21053">
        <v>44.09</v>
      </c>
      <c r="AY138" s="21053"/>
      <c r="AZ138" s="21054"/>
      <c r="BA138" s="33020">
        <v>45839.65446759259</v>
      </c>
      <c r="BB138" s="21056" t="s">
        <v>63</v>
      </c>
      <c r="BC138" s="33020">
        <v>46022.6546875</v>
      </c>
      <c r="BD138" s="21056" t="s">
        <v>63</v>
      </c>
      <c r="BE138" s="21053">
        <v>44.09</v>
      </c>
      <c r="BF138" s="21053"/>
      <c r="BG138" s="21054"/>
      <c r="BH138" s="33020">
        <v>46023.65526620371</v>
      </c>
      <c r="BI138" s="21056" t="s">
        <v>63</v>
      </c>
      <c r="BJ138" s="33020">
        <v>46203.65561342592</v>
      </c>
      <c r="BK138" s="21056" t="s">
        <v>63</v>
      </c>
      <c r="BL138" s="21053">
        <v>47.62</v>
      </c>
      <c r="BM138" s="21053"/>
      <c r="BN138" s="21054"/>
      <c r="BO138" s="33020">
        <v>46204.65623842592</v>
      </c>
      <c r="BP138" s="21056" t="s">
        <v>63</v>
      </c>
      <c r="BQ138" s="33020">
        <v>46387.656435185185</v>
      </c>
      <c r="BR138" s="21056" t="s">
        <v>63</v>
      </c>
      <c r="BS138" s="21053">
        <v>47.62</v>
      </c>
      <c r="BT138" s="21053"/>
      <c r="BU138" s="21054"/>
      <c r="BV138" s="33020">
        <v>46388.65677083333</v>
      </c>
      <c r="BW138" s="21056" t="s">
        <v>63</v>
      </c>
      <c r="BX138" s="33020">
        <v>46568.65710648148</v>
      </c>
      <c r="BY138" s="21056" t="s">
        <v>63</v>
      </c>
      <c r="BZ138" s="21053">
        <v>50.95</v>
      </c>
      <c r="CA138" s="21053"/>
      <c r="CB138" s="21054"/>
      <c r="CC138" s="33020">
        <v>46569.65775462963</v>
      </c>
      <c r="CD138" s="21056" t="s">
        <v>63</v>
      </c>
      <c r="CE138" s="33020">
        <v>46752.65818287037</v>
      </c>
      <c r="CF138" s="21056" t="s">
        <v>63</v>
      </c>
      <c r="CG138" s="21053">
        <v>50.95</v>
      </c>
      <c r="CH138" s="21053"/>
      <c r="CI138" s="21054"/>
      <c r="CJ138" s="33020">
        <v>46753.658796296295</v>
      </c>
      <c r="CK138" s="21056" t="s">
        <v>63</v>
      </c>
      <c r="CL138" s="33020">
        <v>46934.65914351852</v>
      </c>
      <c r="CM138" s="21056" t="s">
        <v>63</v>
      </c>
      <c r="CN138" s="21053">
        <v>52.68</v>
      </c>
      <c r="CO138" s="21053"/>
      <c r="CP138" s="21054"/>
      <c r="CQ138" s="33020">
        <v>46935.66018518519</v>
      </c>
      <c r="CR138" s="21056" t="s">
        <v>63</v>
      </c>
      <c r="CS138" s="33020">
        <v>47118.660578703704</v>
      </c>
      <c r="CT138" s="21056" t="s">
        <v>63</v>
      </c>
      <c r="CU138" s="21653"/>
      <c r="CV13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38" s="21281">
        <f>STRCHECKDATE(V139:CU139)</f>
      </c>
      <c r="CX138" s="21633"/>
      <c r="CY138" s="21633" t="str">
        <f>IF(T138="","",T138)</f>
        <v/>
      </c>
      <c r="CZ138" s="21633"/>
      <c r="DA138" s="21633"/>
      <c r="DB138" s="21020">
        <v>0</v>
      </c>
    </row>
    <row s="54678" customFormat="1" customHeight="1" ht="14.25">
      <c r="A139" s="21621"/>
      <c r="B139" s="21621"/>
      <c r="C139" s="21621"/>
      <c r="D139" s="21621"/>
      <c r="E139" s="21622"/>
      <c r="F139" s="21622"/>
      <c r="G139" s="21622" t="s">
        <v>92</v>
      </c>
      <c r="H139" s="21622"/>
      <c r="I139" s="21647"/>
      <c r="J139" s="21647"/>
      <c r="K139" s="21638"/>
      <c r="L139" s="21624"/>
      <c r="M139" s="21639"/>
      <c r="N139" s="21639"/>
      <c r="O139" s="21639"/>
      <c r="P139" s="21640"/>
      <c r="Q139" s="21640"/>
      <c r="R139" s="21648"/>
      <c r="S139" s="21656"/>
      <c r="T139" s="21631"/>
      <c r="U139" s="21631"/>
      <c r="V139" s="21063"/>
      <c r="W139" s="21063"/>
      <c r="X139" s="21064" t="str">
        <f>Y138&amp;"-"&amp;AA138</f>
        <v>-</v>
      </c>
      <c r="Y139" s="21065"/>
      <c r="Z139" s="21056"/>
      <c r="AA139" s="21065"/>
      <c r="AB139" s="21056"/>
      <c r="AC139" s="21063"/>
      <c r="AD139" s="21063"/>
      <c r="AE139" s="21064" t="str">
        <f>AF138&amp;"-"&amp;AH138</f>
        <v>45292.6521875-45473.65241898148</v>
      </c>
      <c r="AF139" s="21065"/>
      <c r="AG139" s="21056"/>
      <c r="AH139" s="21324"/>
      <c r="AI139" s="21056"/>
      <c r="AJ139" s="21063"/>
      <c r="AK139" s="21063"/>
      <c r="AL139" s="21064" t="str">
        <f>AM138&amp;"-"&amp;AO138</f>
        <v>45474.65300925926-45657.653275462966</v>
      </c>
      <c r="AM139" s="21065"/>
      <c r="AN139" s="21056"/>
      <c r="AO139" s="21065"/>
      <c r="AP139" s="21056"/>
      <c r="AQ139" s="21063"/>
      <c r="AR139" s="21063"/>
      <c r="AS139" s="21064" t="str">
        <f>AT138&amp;"-"&amp;AV138</f>
        <v>45658.65356481481-45838.65383101852</v>
      </c>
      <c r="AT139" s="21065"/>
      <c r="AU139" s="21056"/>
      <c r="AV139" s="21065"/>
      <c r="AW139" s="21056"/>
      <c r="AX139" s="21063"/>
      <c r="AY139" s="21063"/>
      <c r="AZ139" s="21064" t="str">
        <f>BA138&amp;"-"&amp;BC138</f>
        <v>45839.65446759259-46022.6546875</v>
      </c>
      <c r="BA139" s="21065"/>
      <c r="BB139" s="21056"/>
      <c r="BC139" s="21065"/>
      <c r="BD139" s="21056"/>
      <c r="BE139" s="21063"/>
      <c r="BF139" s="21063"/>
      <c r="BG139" s="21064" t="str">
        <f>BH138&amp;"-"&amp;BJ138</f>
        <v>46023.65526620371-46203.65561342592</v>
      </c>
      <c r="BH139" s="21065"/>
      <c r="BI139" s="21056"/>
      <c r="BJ139" s="21065"/>
      <c r="BK139" s="21056"/>
      <c r="BL139" s="21063"/>
      <c r="BM139" s="21063"/>
      <c r="BN139" s="21064" t="str">
        <f>BO138&amp;"-"&amp;BQ138</f>
        <v>46204.65623842592-46387.656435185185</v>
      </c>
      <c r="BO139" s="21065"/>
      <c r="BP139" s="21056"/>
      <c r="BQ139" s="21065"/>
      <c r="BR139" s="21056"/>
      <c r="BS139" s="21063"/>
      <c r="BT139" s="21063"/>
      <c r="BU139" s="21064" t="str">
        <f>BV138&amp;"-"&amp;BX138</f>
        <v>46388.65677083333-46568.65710648148</v>
      </c>
      <c r="BV139" s="21065"/>
      <c r="BW139" s="21056"/>
      <c r="BX139" s="21065"/>
      <c r="BY139" s="21056"/>
      <c r="BZ139" s="21063"/>
      <c r="CA139" s="21063"/>
      <c r="CB139" s="21064" t="str">
        <f>CC138&amp;"-"&amp;CE138</f>
        <v>46569.65775462963-46752.65818287037</v>
      </c>
      <c r="CC139" s="21065"/>
      <c r="CD139" s="21056"/>
      <c r="CE139" s="21065"/>
      <c r="CF139" s="21056"/>
      <c r="CG139" s="21063"/>
      <c r="CH139" s="21063"/>
      <c r="CI139" s="21064" t="str">
        <f>CJ138&amp;"-"&amp;CL138</f>
        <v>46753.658796296295-46934.65914351852</v>
      </c>
      <c r="CJ139" s="21065"/>
      <c r="CK139" s="21056"/>
      <c r="CL139" s="21065"/>
      <c r="CM139" s="21056"/>
      <c r="CN139" s="21063"/>
      <c r="CO139" s="21063"/>
      <c r="CP139" s="21064" t="str">
        <f>CQ138&amp;"-"&amp;CS138</f>
        <v>46935.66018518519-47118.660578703704</v>
      </c>
      <c r="CQ139" s="21065"/>
      <c r="CR139" s="21056"/>
      <c r="CS139" s="21065"/>
      <c r="CT139" s="21056"/>
      <c r="CU139" s="21657"/>
      <c r="CV139" s="21654"/>
      <c r="CW139" s="21281"/>
      <c r="CX139" s="21633"/>
      <c r="CY139" s="21633" t="str">
        <f>IF(T139="","",T139)</f>
        <v/>
      </c>
      <c r="CZ139" s="21633"/>
      <c r="DA139" s="21633"/>
      <c r="DB139" s="21020">
        <v>0</v>
      </c>
    </row>
    <row s="54679" customFormat="1" customHeight="1" ht="21">
      <c r="A140" s="21621"/>
      <c r="B140" s="21621"/>
      <c r="C140" s="21621"/>
      <c r="D140" s="21621"/>
      <c r="E140" s="21622"/>
      <c r="F140" s="21622"/>
      <c r="G140" s="21622" t="s">
        <v>92</v>
      </c>
      <c r="H140" s="21622"/>
      <c r="I140" s="21647"/>
      <c r="J140" s="21638"/>
      <c r="K140" s="21621"/>
      <c r="L140" s="21624"/>
      <c r="M140" s="21639"/>
      <c r="N140" s="21639"/>
      <c r="O140" s="21639"/>
      <c r="P140" s="21640"/>
      <c r="Q140" s="21640"/>
      <c r="R140" s="21641"/>
      <c r="S140" s="23704"/>
      <c r="T140" s="23705" t="s">
        <v>622</v>
      </c>
      <c r="U140" s="23706"/>
      <c r="V140" s="23707"/>
      <c r="W140" s="23708"/>
      <c r="X140" s="23709"/>
      <c r="Y140" s="23710"/>
      <c r="Z140" s="23711"/>
      <c r="AA140" s="23712"/>
      <c r="AB140" s="23713"/>
      <c r="AC140" s="23714"/>
      <c r="AD140" s="23715"/>
      <c r="AE140" s="23716"/>
      <c r="AF140" s="23717"/>
      <c r="AG140" s="23718"/>
      <c r="AH140" s="23719"/>
      <c r="AI140" s="23720"/>
      <c r="AJ140" s="23721"/>
      <c r="AK140" s="23722"/>
      <c r="AL140" s="23723"/>
      <c r="AM140" s="23724"/>
      <c r="AN140" s="23725"/>
      <c r="AO140" s="23726"/>
      <c r="AP140" s="23727"/>
      <c r="AQ140" s="23728"/>
      <c r="AR140" s="23729"/>
      <c r="AS140" s="23730"/>
      <c r="AT140" s="23731"/>
      <c r="AU140" s="23732"/>
      <c r="AV140" s="23733"/>
      <c r="AW140" s="23734"/>
      <c r="AX140" s="23735"/>
      <c r="AY140" s="23736"/>
      <c r="AZ140" s="23737"/>
      <c r="BA140" s="23738"/>
      <c r="BB140" s="23739"/>
      <c r="BC140" s="23740"/>
      <c r="BD140" s="23741"/>
      <c r="BE140" s="23742"/>
      <c r="BF140" s="23743"/>
      <c r="BG140" s="23744"/>
      <c r="BH140" s="23745"/>
      <c r="BI140" s="23746"/>
      <c r="BJ140" s="23747"/>
      <c r="BK140" s="23748"/>
      <c r="BL140" s="23749"/>
      <c r="BM140" s="23750"/>
      <c r="BN140" s="23751"/>
      <c r="BO140" s="23752"/>
      <c r="BP140" s="23753"/>
      <c r="BQ140" s="23754"/>
      <c r="BR140" s="23755"/>
      <c r="BS140" s="23756"/>
      <c r="BT140" s="23757"/>
      <c r="BU140" s="23758"/>
      <c r="BV140" s="23759"/>
      <c r="BW140" s="23760"/>
      <c r="BX140" s="23761"/>
      <c r="BY140" s="23762"/>
      <c r="BZ140" s="23763"/>
      <c r="CA140" s="23764"/>
      <c r="CB140" s="23765"/>
      <c r="CC140" s="23766"/>
      <c r="CD140" s="23767"/>
      <c r="CE140" s="23768"/>
      <c r="CF140" s="23769"/>
      <c r="CG140" s="23770"/>
      <c r="CH140" s="23771"/>
      <c r="CI140" s="23772"/>
      <c r="CJ140" s="23773"/>
      <c r="CK140" s="23774"/>
      <c r="CL140" s="23775"/>
      <c r="CM140" s="23776"/>
      <c r="CN140" s="23777"/>
      <c r="CO140" s="23778"/>
      <c r="CP140" s="23779"/>
      <c r="CQ140" s="23780"/>
      <c r="CR140" s="23781"/>
      <c r="CS140" s="23782"/>
      <c r="CT140" s="23783"/>
      <c r="CU140" s="23784"/>
      <c r="CV140" s="21632" t="s">
        <v>623</v>
      </c>
      <c r="CW140" s="21281"/>
      <c r="CX140" s="21633"/>
      <c r="CY140" s="21633" t="str">
        <f>IF(T140="","",T140)</f>
        <v>Добавить значение признака дифференциации</v>
      </c>
      <c r="CZ140" s="21633"/>
      <c r="DA140" s="21633"/>
      <c r="DB140" s="21020">
        <v>0</v>
      </c>
    </row>
    <row s="54761" customFormat="1" customHeight="1" ht="23.25">
      <c r="A141" s="33106"/>
      <c r="B141" s="33106"/>
      <c r="C141" s="33106"/>
      <c r="D141" s="33106"/>
      <c r="E141" s="33107"/>
      <c r="F141" s="33107"/>
      <c r="G141" s="33107"/>
      <c r="H141" s="33107"/>
      <c r="I141" s="33108"/>
      <c r="J141" s="33109" t="str">
        <f>I136&amp;".2"</f>
        <v>1.5.4.1.2</v>
      </c>
      <c r="K141" s="33106"/>
      <c r="L141" s="33110" t="s">
        <v>545</v>
      </c>
      <c r="M141" s="33111"/>
      <c r="N141" s="33111"/>
      <c r="O141" s="33111"/>
      <c r="P141" s="33112"/>
      <c r="Q141" s="33113" t="s">
        <v>106</v>
      </c>
      <c r="R141" s="33114"/>
      <c r="S141" s="33115" t="str">
        <f>$J141</f>
        <v>1.5.4.1.2</v>
      </c>
      <c r="T141" s="33116" t="s">
        <v>546</v>
      </c>
      <c r="U141" s="33117"/>
      <c r="V141" s="33118"/>
      <c r="W141" s="33119"/>
      <c r="X141" s="33119"/>
      <c r="Y141" s="33119"/>
      <c r="Z141" s="33119"/>
      <c r="AA141" s="33119"/>
      <c r="AB141" s="33120"/>
      <c r="AC141" s="33118" t="s">
        <v>633</v>
      </c>
      <c r="AD141" s="33119"/>
      <c r="AE141" s="33119"/>
      <c r="AF141" s="33119"/>
      <c r="AG141" s="33119"/>
      <c r="AH141" s="33119"/>
      <c r="AI141" s="33119"/>
      <c r="AJ141" s="33118"/>
      <c r="AK141" s="33119"/>
      <c r="AL141" s="33119"/>
      <c r="AM141" s="33119"/>
      <c r="AN141" s="33119"/>
      <c r="AO141" s="33119"/>
      <c r="AP141" s="33120"/>
      <c r="AQ141" s="33118"/>
      <c r="AR141" s="33119"/>
      <c r="AS141" s="33119"/>
      <c r="AT141" s="33119"/>
      <c r="AU141" s="33119"/>
      <c r="AV141" s="33119"/>
      <c r="AW141" s="33120"/>
      <c r="AX141" s="33118"/>
      <c r="AY141" s="33119"/>
      <c r="AZ141" s="33119"/>
      <c r="BA141" s="33119"/>
      <c r="BB141" s="33119"/>
      <c r="BC141" s="33119"/>
      <c r="BD141" s="33120"/>
      <c r="BE141" s="33118"/>
      <c r="BF141" s="33119"/>
      <c r="BG141" s="33119"/>
      <c r="BH141" s="33119"/>
      <c r="BI141" s="33119"/>
      <c r="BJ141" s="33119"/>
      <c r="BK141" s="33120"/>
      <c r="BL141" s="33118"/>
      <c r="BM141" s="33119"/>
      <c r="BN141" s="33119"/>
      <c r="BO141" s="33119"/>
      <c r="BP141" s="33119"/>
      <c r="BQ141" s="33119"/>
      <c r="BR141" s="33120"/>
      <c r="BS141" s="33118"/>
      <c r="BT141" s="33119"/>
      <c r="BU141" s="33119"/>
      <c r="BV141" s="33119"/>
      <c r="BW141" s="33119"/>
      <c r="BX141" s="33119"/>
      <c r="BY141" s="33120"/>
      <c r="BZ141" s="33118"/>
      <c r="CA141" s="33119"/>
      <c r="CB141" s="33119"/>
      <c r="CC141" s="33119"/>
      <c r="CD141" s="33119"/>
      <c r="CE141" s="33119"/>
      <c r="CF141" s="33120"/>
      <c r="CG141" s="33118"/>
      <c r="CH141" s="33119"/>
      <c r="CI141" s="33119"/>
      <c r="CJ141" s="33119"/>
      <c r="CK141" s="33119"/>
      <c r="CL141" s="33119"/>
      <c r="CM141" s="33120"/>
      <c r="CN141" s="33118"/>
      <c r="CO141" s="33119"/>
      <c r="CP141" s="33119"/>
      <c r="CQ141" s="33119"/>
      <c r="CR141" s="33119"/>
      <c r="CS141" s="33119"/>
      <c r="CT141" s="33121"/>
      <c r="CU141" s="33120"/>
      <c r="CV141" s="33122" t="s">
        <v>621</v>
      </c>
      <c r="CW141" s="33123"/>
      <c r="CX141" s="33124"/>
      <c r="CY141" s="33124" t="str">
        <f>IF(T141="","",T141)</f>
        <v>Группа потребителей</v>
      </c>
      <c r="CZ141" s="33124"/>
      <c r="DA141" s="33124"/>
      <c r="DB141" s="33125">
        <v>0</v>
      </c>
    </row>
    <row s="54782" customFormat="1" customHeight="1" ht="23.25">
      <c r="A142" s="33106"/>
      <c r="B142" s="33106"/>
      <c r="C142" s="33106"/>
      <c r="D142" s="33106"/>
      <c r="E142" s="33107"/>
      <c r="F142" s="33107"/>
      <c r="G142" s="33107"/>
      <c r="H142" s="33107"/>
      <c r="I142" s="33108"/>
      <c r="J142" s="33108" t="str">
        <f>I136&amp;".1"</f>
        <v>1.5.4.1.1</v>
      </c>
      <c r="K142" s="33109" t="str">
        <f>J141&amp;".1"</f>
        <v>1.5.4.1.2.1</v>
      </c>
      <c r="L142" s="33110"/>
      <c r="M142" s="33111"/>
      <c r="N142" s="33111"/>
      <c r="O142" s="33111"/>
      <c r="P142" s="33112"/>
      <c r="Q142" s="33112"/>
      <c r="R142" s="33114">
        <v>1</v>
      </c>
      <c r="S142" s="33115" t="str">
        <f>$K142</f>
        <v>1.5.4.1.2.1</v>
      </c>
      <c r="T142" s="33127"/>
      <c r="U142" s="33117"/>
      <c r="V142" s="33128"/>
      <c r="W142" s="33128"/>
      <c r="X142" s="33129"/>
      <c r="Y142" s="33020"/>
      <c r="Z142" s="33130" t="s">
        <v>63</v>
      </c>
      <c r="AA142" s="33020"/>
      <c r="AB142" s="33130" t="s">
        <v>63</v>
      </c>
      <c r="AC142" s="33128">
        <v>23.16</v>
      </c>
      <c r="AD142" s="33128"/>
      <c r="AE142" s="33129"/>
      <c r="AF142" s="33020">
        <v>45292.65232638889</v>
      </c>
      <c r="AG142" s="33130" t="s">
        <v>63</v>
      </c>
      <c r="AH142" s="33021">
        <v>45473.6525</v>
      </c>
      <c r="AI142" s="33130" t="s">
        <v>63</v>
      </c>
      <c r="AJ142" s="33128">
        <v>30.11</v>
      </c>
      <c r="AK142" s="33128"/>
      <c r="AL142" s="33129"/>
      <c r="AM142" s="33020">
        <v>45474.65311342593</v>
      </c>
      <c r="AN142" s="33130" t="s">
        <v>63</v>
      </c>
      <c r="AO142" s="33020">
        <v>45657.65336805556</v>
      </c>
      <c r="AP142" s="33130" t="s">
        <v>63</v>
      </c>
      <c r="AQ142" s="33128">
        <v>30.11</v>
      </c>
      <c r="AR142" s="33128"/>
      <c r="AS142" s="33129"/>
      <c r="AT142" s="33020">
        <v>45658.653703703705</v>
      </c>
      <c r="AU142" s="33130" t="s">
        <v>63</v>
      </c>
      <c r="AV142" s="33020">
        <v>45838.65400462963</v>
      </c>
      <c r="AW142" s="33130" t="s">
        <v>63</v>
      </c>
      <c r="AX142" s="33128">
        <v>36.74</v>
      </c>
      <c r="AY142" s="33128"/>
      <c r="AZ142" s="33129"/>
      <c r="BA142" s="33020">
        <v>45839.65457175926</v>
      </c>
      <c r="BB142" s="33130" t="s">
        <v>63</v>
      </c>
      <c r="BC142" s="33020">
        <v>46022.654756944445</v>
      </c>
      <c r="BD142" s="33130" t="s">
        <v>63</v>
      </c>
      <c r="BE142" s="33128">
        <v>36.74</v>
      </c>
      <c r="BF142" s="33128"/>
      <c r="BG142" s="33129"/>
      <c r="BH142" s="33020">
        <v>46023.65539351852</v>
      </c>
      <c r="BI142" s="33130" t="s">
        <v>63</v>
      </c>
      <c r="BJ142" s="33020">
        <v>46203.655752314815</v>
      </c>
      <c r="BK142" s="33130" t="s">
        <v>63</v>
      </c>
      <c r="BL142" s="33128">
        <v>39.68</v>
      </c>
      <c r="BM142" s="33128"/>
      <c r="BN142" s="33129"/>
      <c r="BO142" s="33020">
        <v>46204.656331018516</v>
      </c>
      <c r="BP142" s="33130" t="s">
        <v>63</v>
      </c>
      <c r="BQ142" s="33020">
        <v>46387.65650462963</v>
      </c>
      <c r="BR142" s="33130" t="s">
        <v>63</v>
      </c>
      <c r="BS142" s="33128">
        <v>39.68</v>
      </c>
      <c r="BT142" s="33128"/>
      <c r="BU142" s="33129"/>
      <c r="BV142" s="33020">
        <v>46388.65693287037</v>
      </c>
      <c r="BW142" s="33130" t="s">
        <v>63</v>
      </c>
      <c r="BX142" s="33020">
        <v>46568.65728009259</v>
      </c>
      <c r="BY142" s="33130" t="s">
        <v>63</v>
      </c>
      <c r="BZ142" s="33128">
        <v>42.45</v>
      </c>
      <c r="CA142" s="33128"/>
      <c r="CB142" s="33129"/>
      <c r="CC142" s="33020">
        <v>46569.65791666666</v>
      </c>
      <c r="CD142" s="33130" t="s">
        <v>63</v>
      </c>
      <c r="CE142" s="33020">
        <v>46752.65825231482</v>
      </c>
      <c r="CF142" s="33130" t="s">
        <v>63</v>
      </c>
      <c r="CG142" s="33128">
        <v>50.95</v>
      </c>
      <c r="CH142" s="33128"/>
      <c r="CI142" s="33129"/>
      <c r="CJ142" s="33020">
        <v>46753.65894675926</v>
      </c>
      <c r="CK142" s="33130" t="s">
        <v>63</v>
      </c>
      <c r="CL142" s="33020">
        <v>46934.65957175926</v>
      </c>
      <c r="CM142" s="33130" t="s">
        <v>63</v>
      </c>
      <c r="CN142" s="33128">
        <v>43.9</v>
      </c>
      <c r="CO142" s="33128"/>
      <c r="CP142" s="33129"/>
      <c r="CQ142" s="33020">
        <v>46935.66037037037</v>
      </c>
      <c r="CR142" s="33130" t="s">
        <v>63</v>
      </c>
      <c r="CS142" s="33020">
        <v>47118.66049768519</v>
      </c>
      <c r="CT142" s="33131" t="s">
        <v>63</v>
      </c>
      <c r="CU142" s="33132"/>
      <c r="CV142"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2" s="33123">
        <f>STRCHECKDATE(V143:CU143)</f>
      </c>
      <c r="CX142" s="33124"/>
      <c r="CY142" s="33124" t="str">
        <f>IF(T142="","",T142)</f>
        <v/>
      </c>
      <c r="CZ142" s="33124"/>
      <c r="DA142" s="33124"/>
      <c r="DB142" s="33125">
        <v>0</v>
      </c>
    </row>
    <row s="54790" customFormat="1" customHeight="1" ht="14.25">
      <c r="A143" s="33106"/>
      <c r="B143" s="33106"/>
      <c r="C143" s="33106"/>
      <c r="D143" s="33106"/>
      <c r="E143" s="33107"/>
      <c r="F143" s="33107"/>
      <c r="G143" s="33107"/>
      <c r="H143" s="33107"/>
      <c r="I143" s="33108"/>
      <c r="J143" s="33108" t="str">
        <f>I136&amp;".1"</f>
        <v>1.5.4.1.1</v>
      </c>
      <c r="K143" s="33109"/>
      <c r="L143" s="33110"/>
      <c r="M143" s="33111"/>
      <c r="N143" s="33111"/>
      <c r="O143" s="33111"/>
      <c r="P143" s="33112"/>
      <c r="Q143" s="33112"/>
      <c r="R143" s="33114"/>
      <c r="S143" s="33135"/>
      <c r="T143" s="33117"/>
      <c r="U143" s="33117"/>
      <c r="V143" s="33136"/>
      <c r="W143" s="33136"/>
      <c r="X143" s="33137" t="str">
        <f>Y142&amp;"-"&amp;AA142</f>
        <v>-</v>
      </c>
      <c r="Y143" s="33138"/>
      <c r="Z143" s="33130"/>
      <c r="AA143" s="33138"/>
      <c r="AB143" s="33130"/>
      <c r="AC143" s="33136"/>
      <c r="AD143" s="33136"/>
      <c r="AE143" s="33137" t="str">
        <f>AF142&amp;"-"&amp;AH142</f>
        <v>45292.65232638889-45473.6525</v>
      </c>
      <c r="AF143" s="33138"/>
      <c r="AG143" s="33130"/>
      <c r="AH143" s="33139"/>
      <c r="AI143" s="33130"/>
      <c r="AJ143" s="33136"/>
      <c r="AK143" s="33136"/>
      <c r="AL143" s="33137" t="str">
        <f>AM142&amp;"-"&amp;AO142</f>
        <v>45474.65311342593-45657.65336805556</v>
      </c>
      <c r="AM143" s="33138"/>
      <c r="AN143" s="33130"/>
      <c r="AO143" s="33138"/>
      <c r="AP143" s="33130"/>
      <c r="AQ143" s="33136"/>
      <c r="AR143" s="33136"/>
      <c r="AS143" s="33137" t="str">
        <f>AT142&amp;"-"&amp;AV142</f>
        <v>45658.653703703705-45838.65400462963</v>
      </c>
      <c r="AT143" s="33138"/>
      <c r="AU143" s="33130"/>
      <c r="AV143" s="33138"/>
      <c r="AW143" s="33130"/>
      <c r="AX143" s="33136"/>
      <c r="AY143" s="33136"/>
      <c r="AZ143" s="33137" t="str">
        <f>BA142&amp;"-"&amp;BC142</f>
        <v>45839.65457175926-46022.654756944445</v>
      </c>
      <c r="BA143" s="33138"/>
      <c r="BB143" s="33130"/>
      <c r="BC143" s="33138"/>
      <c r="BD143" s="33130"/>
      <c r="BE143" s="33136"/>
      <c r="BF143" s="33136"/>
      <c r="BG143" s="33137" t="str">
        <f>BH142&amp;"-"&amp;BJ142</f>
        <v>46023.65539351852-46203.655752314815</v>
      </c>
      <c r="BH143" s="33138"/>
      <c r="BI143" s="33130"/>
      <c r="BJ143" s="33138"/>
      <c r="BK143" s="33130"/>
      <c r="BL143" s="33136"/>
      <c r="BM143" s="33136"/>
      <c r="BN143" s="33137" t="str">
        <f>BO142&amp;"-"&amp;BQ142</f>
        <v>46204.656331018516-46387.65650462963</v>
      </c>
      <c r="BO143" s="33138"/>
      <c r="BP143" s="33130"/>
      <c r="BQ143" s="33138"/>
      <c r="BR143" s="33130"/>
      <c r="BS143" s="33136"/>
      <c r="BT143" s="33136"/>
      <c r="BU143" s="33137" t="str">
        <f>BV142&amp;"-"&amp;BX142</f>
        <v>46388.65693287037-46568.65728009259</v>
      </c>
      <c r="BV143" s="33138"/>
      <c r="BW143" s="33130"/>
      <c r="BX143" s="33138"/>
      <c r="BY143" s="33130"/>
      <c r="BZ143" s="33136"/>
      <c r="CA143" s="33136"/>
      <c r="CB143" s="33137" t="str">
        <f>CC142&amp;"-"&amp;CE142</f>
        <v>46569.65791666666-46752.65825231482</v>
      </c>
      <c r="CC143" s="33138"/>
      <c r="CD143" s="33130"/>
      <c r="CE143" s="33138"/>
      <c r="CF143" s="33130"/>
      <c r="CG143" s="33136"/>
      <c r="CH143" s="33136"/>
      <c r="CI143" s="33137" t="str">
        <f>CJ142&amp;"-"&amp;CL142</f>
        <v>46753.65894675926-46934.65957175926</v>
      </c>
      <c r="CJ143" s="33138"/>
      <c r="CK143" s="33130"/>
      <c r="CL143" s="33138"/>
      <c r="CM143" s="33130"/>
      <c r="CN143" s="33136"/>
      <c r="CO143" s="33136"/>
      <c r="CP143" s="33137" t="str">
        <f>CQ142&amp;"-"&amp;CS142</f>
        <v>46935.66037037037-47118.66049768519</v>
      </c>
      <c r="CQ143" s="33138"/>
      <c r="CR143" s="33130"/>
      <c r="CS143" s="33138"/>
      <c r="CT143" s="33131"/>
      <c r="CU143" s="33140"/>
      <c r="CV143" s="33133"/>
      <c r="CW143" s="33123"/>
      <c r="CX143" s="33124"/>
      <c r="CY143" s="33124" t="str">
        <f>IF(T143="","",T143)</f>
        <v/>
      </c>
      <c r="CZ143" s="33124"/>
      <c r="DA143" s="33124"/>
      <c r="DB143" s="33125">
        <v>0</v>
      </c>
    </row>
    <row s="54797" customFormat="1" customHeight="1" ht="21">
      <c r="A144" s="33106"/>
      <c r="B144" s="33106"/>
      <c r="C144" s="33106"/>
      <c r="D144" s="33106"/>
      <c r="E144" s="33107"/>
      <c r="F144" s="33107"/>
      <c r="G144" s="33107"/>
      <c r="H144" s="33107"/>
      <c r="I144" s="33108"/>
      <c r="J144" s="33109" t="str">
        <f>I136&amp;".1"</f>
        <v>1.5.4.1.1</v>
      </c>
      <c r="K144" s="33106"/>
      <c r="L144" s="33110"/>
      <c r="M144" s="33111"/>
      <c r="N144" s="33111"/>
      <c r="O144" s="33111"/>
      <c r="P144" s="33112"/>
      <c r="Q144" s="33112"/>
      <c r="R144" s="33142"/>
      <c r="S144" s="33143"/>
      <c r="T144" s="33144" t="s">
        <v>622</v>
      </c>
      <c r="U144" s="33145"/>
      <c r="V144" s="33146"/>
      <c r="W144" s="33147"/>
      <c r="X144" s="33148"/>
      <c r="Y144" s="33149"/>
      <c r="Z144" s="33150"/>
      <c r="AA144" s="33151"/>
      <c r="AB144" s="33152"/>
      <c r="AC144" s="33153"/>
      <c r="AD144" s="33154"/>
      <c r="AE144" s="33155"/>
      <c r="AF144" s="33156"/>
      <c r="AG144" s="33157"/>
      <c r="AH144" s="33158"/>
      <c r="AI144" s="33159"/>
      <c r="AJ144" s="33160"/>
      <c r="AK144" s="33161"/>
      <c r="AL144" s="33162"/>
      <c r="AM144" s="33163"/>
      <c r="AN144" s="33164"/>
      <c r="AO144" s="33165"/>
      <c r="AP144" s="33166"/>
      <c r="AQ144" s="33167"/>
      <c r="AR144" s="33168"/>
      <c r="AS144" s="33169"/>
      <c r="AT144" s="33170"/>
      <c r="AU144" s="33171"/>
      <c r="AV144" s="33172"/>
      <c r="AW144" s="33173"/>
      <c r="AX144" s="33174"/>
      <c r="AY144" s="33175"/>
      <c r="AZ144" s="33176"/>
      <c r="BA144" s="33177"/>
      <c r="BB144" s="33178"/>
      <c r="BC144" s="33179"/>
      <c r="BD144" s="33180"/>
      <c r="BE144" s="33181"/>
      <c r="BF144" s="33182"/>
      <c r="BG144" s="33183"/>
      <c r="BH144" s="33184"/>
      <c r="BI144" s="33185"/>
      <c r="BJ144" s="33186"/>
      <c r="BK144" s="33187"/>
      <c r="BL144" s="33188"/>
      <c r="BM144" s="33189"/>
      <c r="BN144" s="33190"/>
      <c r="BO144" s="33191"/>
      <c r="BP144" s="33192"/>
      <c r="BQ144" s="33193"/>
      <c r="BR144" s="33194"/>
      <c r="BS144" s="33195"/>
      <c r="BT144" s="33196"/>
      <c r="BU144" s="33197"/>
      <c r="BV144" s="33198"/>
      <c r="BW144" s="33199"/>
      <c r="BX144" s="33200"/>
      <c r="BY144" s="33201"/>
      <c r="BZ144" s="33202"/>
      <c r="CA144" s="33203"/>
      <c r="CB144" s="33204"/>
      <c r="CC144" s="33205"/>
      <c r="CD144" s="33206"/>
      <c r="CE144" s="33207"/>
      <c r="CF144" s="33208"/>
      <c r="CG144" s="33209"/>
      <c r="CH144" s="33210"/>
      <c r="CI144" s="33211"/>
      <c r="CJ144" s="33212"/>
      <c r="CK144" s="33213"/>
      <c r="CL144" s="33214"/>
      <c r="CM144" s="33215"/>
      <c r="CN144" s="33216"/>
      <c r="CO144" s="33217"/>
      <c r="CP144" s="33218"/>
      <c r="CQ144" s="33219"/>
      <c r="CR144" s="33220"/>
      <c r="CS144" s="33221"/>
      <c r="CT144" s="33222"/>
      <c r="CU144" s="33223"/>
      <c r="CV144" s="33224" t="s">
        <v>623</v>
      </c>
      <c r="CW144" s="33123"/>
      <c r="CX144" s="33124"/>
      <c r="CY144" s="33124" t="str">
        <f>IF(T144="","",T144)</f>
        <v>Добавить значение признака дифференциации</v>
      </c>
      <c r="CZ144" s="33124"/>
      <c r="DA144" s="33124"/>
      <c r="DB144" s="33125">
        <v>0</v>
      </c>
    </row>
    <row s="54881" customFormat="1" customHeight="1" ht="21">
      <c r="A145" s="21621"/>
      <c r="B145" s="21621"/>
      <c r="C145" s="21621"/>
      <c r="D145" s="21621"/>
      <c r="E145" s="21622"/>
      <c r="F145" s="21622"/>
      <c r="G145" s="21622" t="s">
        <v>92</v>
      </c>
      <c r="H145" s="21622"/>
      <c r="I145" s="21638"/>
      <c r="J145" s="21621"/>
      <c r="K145" s="21621"/>
      <c r="L145" s="21624"/>
      <c r="M145" s="21639"/>
      <c r="N145" s="21639"/>
      <c r="O145" s="21639"/>
      <c r="P145" s="21640"/>
      <c r="Q145" s="21640"/>
      <c r="R145" s="21641"/>
      <c r="S145" s="23786"/>
      <c r="T145" s="23787" t="s">
        <v>551</v>
      </c>
      <c r="U145" s="23788"/>
      <c r="V145" s="23789"/>
      <c r="W145" s="23790"/>
      <c r="X145" s="23791"/>
      <c r="Y145" s="23792"/>
      <c r="Z145" s="23793"/>
      <c r="AA145" s="23794"/>
      <c r="AB145" s="23795"/>
      <c r="AC145" s="23796"/>
      <c r="AD145" s="23797"/>
      <c r="AE145" s="23798"/>
      <c r="AF145" s="23799"/>
      <c r="AG145" s="23800"/>
      <c r="AH145" s="23801"/>
      <c r="AI145" s="23802"/>
      <c r="AJ145" s="23803"/>
      <c r="AK145" s="23804"/>
      <c r="AL145" s="23805"/>
      <c r="AM145" s="23806"/>
      <c r="AN145" s="23807"/>
      <c r="AO145" s="23808"/>
      <c r="AP145" s="23809"/>
      <c r="AQ145" s="23810"/>
      <c r="AR145" s="23811"/>
      <c r="AS145" s="23812"/>
      <c r="AT145" s="23813"/>
      <c r="AU145" s="23814"/>
      <c r="AV145" s="23815"/>
      <c r="AW145" s="23816"/>
      <c r="AX145" s="23817"/>
      <c r="AY145" s="23818"/>
      <c r="AZ145" s="23819"/>
      <c r="BA145" s="23820"/>
      <c r="BB145" s="23821"/>
      <c r="BC145" s="23822"/>
      <c r="BD145" s="23823"/>
      <c r="BE145" s="23824"/>
      <c r="BF145" s="23825"/>
      <c r="BG145" s="23826"/>
      <c r="BH145" s="23827"/>
      <c r="BI145" s="23828"/>
      <c r="BJ145" s="23829"/>
      <c r="BK145" s="23830"/>
      <c r="BL145" s="23831"/>
      <c r="BM145" s="23832"/>
      <c r="BN145" s="23833"/>
      <c r="BO145" s="23834"/>
      <c r="BP145" s="23835"/>
      <c r="BQ145" s="23836"/>
      <c r="BR145" s="23837"/>
      <c r="BS145" s="23838"/>
      <c r="BT145" s="23839"/>
      <c r="BU145" s="23840"/>
      <c r="BV145" s="23841"/>
      <c r="BW145" s="23842"/>
      <c r="BX145" s="23843"/>
      <c r="BY145" s="23844"/>
      <c r="BZ145" s="23845"/>
      <c r="CA145" s="23846"/>
      <c r="CB145" s="23847"/>
      <c r="CC145" s="23848"/>
      <c r="CD145" s="23849"/>
      <c r="CE145" s="23850"/>
      <c r="CF145" s="23851"/>
      <c r="CG145" s="23852"/>
      <c r="CH145" s="23853"/>
      <c r="CI145" s="23854"/>
      <c r="CJ145" s="23855"/>
      <c r="CK145" s="23856"/>
      <c r="CL145" s="23857"/>
      <c r="CM145" s="23858"/>
      <c r="CN145" s="23859"/>
      <c r="CO145" s="23860"/>
      <c r="CP145" s="23861"/>
      <c r="CQ145" s="23862"/>
      <c r="CR145" s="23863"/>
      <c r="CS145" s="23864"/>
      <c r="CT145" s="23865"/>
      <c r="CU145" s="23866"/>
      <c r="CV145" s="23867"/>
      <c r="CW145" s="21281"/>
      <c r="CX145" s="21633"/>
      <c r="CY145" s="21633" t="str">
        <f>IF(T145="","",T145)</f>
        <v>Добавить группу потребителей</v>
      </c>
      <c r="CZ145" s="21633"/>
      <c r="DA145" s="21633"/>
      <c r="DB145" s="21020">
        <v>0</v>
      </c>
    </row>
    <row s="54964" customFormat="1" customHeight="1" ht="14.25">
      <c r="A146" s="21621"/>
      <c r="B146" s="21621"/>
      <c r="C146" s="21621"/>
      <c r="D146" s="21621"/>
      <c r="E146" s="21622"/>
      <c r="F146" s="21622"/>
      <c r="G146" s="21622" t="s">
        <v>92</v>
      </c>
      <c r="H146" s="21623"/>
      <c r="I146" s="21621"/>
      <c r="J146" s="21621"/>
      <c r="K146" s="21621"/>
      <c r="L146" s="21624"/>
      <c r="M146" s="21625"/>
      <c r="N146" s="21625"/>
      <c r="O146" s="21264"/>
      <c r="P146" s="21910"/>
      <c r="Q146" s="21911"/>
      <c r="R146" s="21912"/>
      <c r="S146" s="23869"/>
      <c r="T146" s="23870" t="s">
        <v>624</v>
      </c>
      <c r="U146" s="23871"/>
      <c r="V146" s="23872"/>
      <c r="W146" s="23873"/>
      <c r="X146" s="23874"/>
      <c r="Y146" s="23875"/>
      <c r="Z146" s="23876"/>
      <c r="AA146" s="23877"/>
      <c r="AB146" s="23878"/>
      <c r="AC146" s="23879"/>
      <c r="AD146" s="23880"/>
      <c r="AE146" s="23881"/>
      <c r="AF146" s="23882"/>
      <c r="AG146" s="23883"/>
      <c r="AH146" s="23884"/>
      <c r="AI146" s="23885"/>
      <c r="AJ146" s="23886"/>
      <c r="AK146" s="23887"/>
      <c r="AL146" s="23888"/>
      <c r="AM146" s="23889"/>
      <c r="AN146" s="23890"/>
      <c r="AO146" s="23891"/>
      <c r="AP146" s="23892"/>
      <c r="AQ146" s="23893"/>
      <c r="AR146" s="23894"/>
      <c r="AS146" s="23895"/>
      <c r="AT146" s="23896"/>
      <c r="AU146" s="23897"/>
      <c r="AV146" s="23898"/>
      <c r="AW146" s="23899"/>
      <c r="AX146" s="23900"/>
      <c r="AY146" s="23901"/>
      <c r="AZ146" s="23902"/>
      <c r="BA146" s="23903"/>
      <c r="BB146" s="23904"/>
      <c r="BC146" s="23905"/>
      <c r="BD146" s="23906"/>
      <c r="BE146" s="23907"/>
      <c r="BF146" s="23908"/>
      <c r="BG146" s="23909"/>
      <c r="BH146" s="23910"/>
      <c r="BI146" s="23911"/>
      <c r="BJ146" s="23912"/>
      <c r="BK146" s="23913"/>
      <c r="BL146" s="23914"/>
      <c r="BM146" s="23915"/>
      <c r="BN146" s="23916"/>
      <c r="BO146" s="23917"/>
      <c r="BP146" s="23918"/>
      <c r="BQ146" s="23919"/>
      <c r="BR146" s="23920"/>
      <c r="BS146" s="23921"/>
      <c r="BT146" s="23922"/>
      <c r="BU146" s="23923"/>
      <c r="BV146" s="23924"/>
      <c r="BW146" s="23925"/>
      <c r="BX146" s="23926"/>
      <c r="BY146" s="23927"/>
      <c r="BZ146" s="23928"/>
      <c r="CA146" s="23929"/>
      <c r="CB146" s="23930"/>
      <c r="CC146" s="23931"/>
      <c r="CD146" s="23932"/>
      <c r="CE146" s="23933"/>
      <c r="CF146" s="23934"/>
      <c r="CG146" s="23935"/>
      <c r="CH146" s="23936"/>
      <c r="CI146" s="23937"/>
      <c r="CJ146" s="23938"/>
      <c r="CK146" s="23939"/>
      <c r="CL146" s="23940"/>
      <c r="CM146" s="23941"/>
      <c r="CN146" s="23942"/>
      <c r="CO146" s="23943"/>
      <c r="CP146" s="23944"/>
      <c r="CQ146" s="23945"/>
      <c r="CR146" s="23946"/>
      <c r="CS146" s="23947"/>
      <c r="CT146" s="23948"/>
      <c r="CU146" s="23949"/>
      <c r="CV146" s="23950"/>
      <c r="CW146" s="21281"/>
      <c r="CX146" s="21633"/>
      <c r="CY146" s="21633" t="str">
        <f>IF(T146="","",T146)</f>
        <v>Добавить наименование признака дифференциации</v>
      </c>
      <c r="CZ146" s="21633"/>
      <c r="DA146" s="21633"/>
      <c r="DB146" s="21020">
        <v>0</v>
      </c>
    </row>
    <row s="55047" customFormat="1" customHeight="1" ht="23.25">
      <c r="A147" s="21621"/>
      <c r="B147" s="21621"/>
      <c r="C147" s="21621" t="s">
        <v>317</v>
      </c>
      <c r="D147" s="21621"/>
      <c r="E147" s="21622"/>
      <c r="F147" s="21622"/>
      <c r="G147" s="21623" t="s">
        <v>121</v>
      </c>
      <c r="H147" s="21621"/>
      <c r="I147" s="21621"/>
      <c r="J147" s="21621"/>
      <c r="K147" s="21621"/>
      <c r="L147" s="21624"/>
      <c r="M147" s="21625"/>
      <c r="N147" s="21625"/>
      <c r="O147" s="21625"/>
      <c r="P147" s="21635"/>
      <c r="Q147" s="21627"/>
      <c r="R147" s="21628"/>
      <c r="S147" s="21629" t="str">
        <f>INDEX(PT_DIFFERENTIATION_NUM_CS,MATCH(C147,PT_DIFFERENTIATION_CS_ID,0))</f>
        <v>1.5.5</v>
      </c>
      <c r="T147" s="21636" t="s">
        <v>617</v>
      </c>
      <c r="U147" s="21631"/>
      <c r="V147" s="21025"/>
      <c r="W147" s="21026"/>
      <c r="X147" s="21026"/>
      <c r="Y147" s="21026"/>
      <c r="Z147" s="21026"/>
      <c r="AA147" s="21026"/>
      <c r="AB147" s="21027"/>
      <c r="AC147" s="21025" t="str">
        <f>INDEX(PT_DIFFERENTIATION_CS,MATCH(C147,PT_DIFFERENTIATION_CS_ID,0))</f>
        <v>с. Безверхово, с. Перевозная</v>
      </c>
      <c r="AD147" s="21026"/>
      <c r="AE147" s="21026"/>
      <c r="AF147" s="21026"/>
      <c r="AG147" s="21026"/>
      <c r="AH147" s="21026"/>
      <c r="AI147" s="21026"/>
      <c r="AJ147" s="21025"/>
      <c r="AK147" s="21026"/>
      <c r="AL147" s="21026"/>
      <c r="AM147" s="21026"/>
      <c r="AN147" s="21026"/>
      <c r="AO147" s="21026"/>
      <c r="AP147" s="21027"/>
      <c r="AQ147" s="21025"/>
      <c r="AR147" s="21026"/>
      <c r="AS147" s="21026"/>
      <c r="AT147" s="21026"/>
      <c r="AU147" s="21026"/>
      <c r="AV147" s="21026"/>
      <c r="AW147" s="21027"/>
      <c r="AX147" s="21025"/>
      <c r="AY147" s="21026"/>
      <c r="AZ147" s="21026"/>
      <c r="BA147" s="21026"/>
      <c r="BB147" s="21026"/>
      <c r="BC147" s="21026"/>
      <c r="BD147" s="21027"/>
      <c r="BE147" s="21025"/>
      <c r="BF147" s="21026"/>
      <c r="BG147" s="21026"/>
      <c r="BH147" s="21026"/>
      <c r="BI147" s="21026"/>
      <c r="BJ147" s="21026"/>
      <c r="BK147" s="21027"/>
      <c r="BL147" s="21025"/>
      <c r="BM147" s="21026"/>
      <c r="BN147" s="21026"/>
      <c r="BO147" s="21026"/>
      <c r="BP147" s="21026"/>
      <c r="BQ147" s="21026"/>
      <c r="BR147" s="21027"/>
      <c r="BS147" s="21025"/>
      <c r="BT147" s="21026"/>
      <c r="BU147" s="21026"/>
      <c r="BV147" s="21026"/>
      <c r="BW147" s="21026"/>
      <c r="BX147" s="21026"/>
      <c r="BY147" s="21027"/>
      <c r="BZ147" s="21025"/>
      <c r="CA147" s="21026"/>
      <c r="CB147" s="21026"/>
      <c r="CC147" s="21026"/>
      <c r="CD147" s="21026"/>
      <c r="CE147" s="21026"/>
      <c r="CF147" s="21027"/>
      <c r="CG147" s="21025"/>
      <c r="CH147" s="21026"/>
      <c r="CI147" s="21026"/>
      <c r="CJ147" s="21026"/>
      <c r="CK147" s="21026"/>
      <c r="CL147" s="21026"/>
      <c r="CM147" s="21027"/>
      <c r="CN147" s="21025"/>
      <c r="CO147" s="21026"/>
      <c r="CP147" s="21026"/>
      <c r="CQ147" s="21026"/>
      <c r="CR147" s="21026"/>
      <c r="CS147" s="21026"/>
      <c r="CT147" s="21027"/>
      <c r="CU147" s="21027"/>
      <c r="CV147" s="21632" t="s">
        <v>618</v>
      </c>
      <c r="CW147" s="21281"/>
      <c r="CX147" s="21633"/>
      <c r="CY147" s="21633" t="str">
        <f>IF(T147="","",T147)</f>
        <v>Наименование централизованной системы холодного водоснабжения</v>
      </c>
      <c r="CZ147" s="21633"/>
      <c r="DA147" s="21633"/>
      <c r="DB147" s="21020">
        <v>0</v>
      </c>
    </row>
    <row s="55048" customFormat="1" customHeight="1" ht="23.25">
      <c r="A148" s="21621"/>
      <c r="B148" s="21621"/>
      <c r="C148" s="21621"/>
      <c r="D148" s="21621"/>
      <c r="E148" s="21622"/>
      <c r="F148" s="21622"/>
      <c r="G148" s="21622" t="s">
        <v>93</v>
      </c>
      <c r="H148" s="21622"/>
      <c r="I148" s="21638" t="str">
        <f>S147&amp;".1"</f>
        <v>1.5.5.1</v>
      </c>
      <c r="J148" s="21621"/>
      <c r="K148" s="21621"/>
      <c r="L148" s="21624"/>
      <c r="M148" s="21639"/>
      <c r="N148" s="21639"/>
      <c r="O148" s="21639"/>
      <c r="P148" s="21640">
        <v>1</v>
      </c>
      <c r="Q148" s="21640"/>
      <c r="R148" s="21641"/>
      <c r="S148" s="21629" t="str">
        <f>$I148</f>
        <v>1.5.5.1</v>
      </c>
      <c r="T148" s="21642" t="s">
        <v>619</v>
      </c>
      <c r="U148" s="21631"/>
      <c r="V148" s="21038"/>
      <c r="W148" s="21039"/>
      <c r="X148" s="21039"/>
      <c r="Y148" s="21039"/>
      <c r="Z148" s="21039"/>
      <c r="AA148" s="21039"/>
      <c r="AB148" s="21040"/>
      <c r="AC148" s="21643"/>
      <c r="AD148" s="21644"/>
      <c r="AE148" s="21644"/>
      <c r="AF148" s="21644"/>
      <c r="AG148" s="21644"/>
      <c r="AH148" s="21644"/>
      <c r="AI148" s="21644"/>
      <c r="AJ148" s="21038"/>
      <c r="AK148" s="21039"/>
      <c r="AL148" s="21039"/>
      <c r="AM148" s="21039"/>
      <c r="AN148" s="21039"/>
      <c r="AO148" s="21039"/>
      <c r="AP148" s="21040"/>
      <c r="AQ148" s="21038"/>
      <c r="AR148" s="21039"/>
      <c r="AS148" s="21039"/>
      <c r="AT148" s="21039"/>
      <c r="AU148" s="21039"/>
      <c r="AV148" s="21039"/>
      <c r="AW148" s="21040"/>
      <c r="AX148" s="21038"/>
      <c r="AY148" s="21039"/>
      <c r="AZ148" s="21039"/>
      <c r="BA148" s="21039"/>
      <c r="BB148" s="21039"/>
      <c r="BC148" s="21039"/>
      <c r="BD148" s="21040"/>
      <c r="BE148" s="21038"/>
      <c r="BF148" s="21039"/>
      <c r="BG148" s="21039"/>
      <c r="BH148" s="21039"/>
      <c r="BI148" s="21039"/>
      <c r="BJ148" s="21039"/>
      <c r="BK148" s="21040"/>
      <c r="BL148" s="21038"/>
      <c r="BM148" s="21039"/>
      <c r="BN148" s="21039"/>
      <c r="BO148" s="21039"/>
      <c r="BP148" s="21039"/>
      <c r="BQ148" s="21039"/>
      <c r="BR148" s="21040"/>
      <c r="BS148" s="21038"/>
      <c r="BT148" s="21039"/>
      <c r="BU148" s="21039"/>
      <c r="BV148" s="21039"/>
      <c r="BW148" s="21039"/>
      <c r="BX148" s="21039"/>
      <c r="BY148" s="21040"/>
      <c r="BZ148" s="21038"/>
      <c r="CA148" s="21039"/>
      <c r="CB148" s="21039"/>
      <c r="CC148" s="21039"/>
      <c r="CD148" s="21039"/>
      <c r="CE148" s="21039"/>
      <c r="CF148" s="21040"/>
      <c r="CG148" s="21038"/>
      <c r="CH148" s="21039"/>
      <c r="CI148" s="21039"/>
      <c r="CJ148" s="21039"/>
      <c r="CK148" s="21039"/>
      <c r="CL148" s="21039"/>
      <c r="CM148" s="21040"/>
      <c r="CN148" s="21038"/>
      <c r="CO148" s="21039"/>
      <c r="CP148" s="21039"/>
      <c r="CQ148" s="21039"/>
      <c r="CR148" s="21039"/>
      <c r="CS148" s="21039"/>
      <c r="CT148" s="21040"/>
      <c r="CU148" s="21645"/>
      <c r="CV148" s="21632" t="s">
        <v>620</v>
      </c>
      <c r="CW148" s="21281"/>
      <c r="CX148" s="21633"/>
      <c r="CY148" s="21633" t="str">
        <f>IF(T148="","",T148)</f>
        <v>Наименование признака дифференциации</v>
      </c>
      <c r="CZ148" s="21633"/>
      <c r="DA148" s="21633"/>
      <c r="DB148" s="21020">
        <v>0</v>
      </c>
    </row>
    <row s="55049" customFormat="1" customHeight="1" ht="23.25">
      <c r="A149" s="21621"/>
      <c r="B149" s="21621"/>
      <c r="C149" s="21621"/>
      <c r="D149" s="21621"/>
      <c r="E149" s="21622"/>
      <c r="F149" s="21622"/>
      <c r="G149" s="21622" t="s">
        <v>93</v>
      </c>
      <c r="H149" s="21622"/>
      <c r="I149" s="21647"/>
      <c r="J149" s="21638" t="str">
        <f>I148&amp;".1"</f>
        <v>1.5.5.1.1</v>
      </c>
      <c r="K149" s="21621"/>
      <c r="L149" s="21624" t="s">
        <v>545</v>
      </c>
      <c r="M149" s="21639"/>
      <c r="N149" s="21639"/>
      <c r="O149" s="21639"/>
      <c r="P149" s="21640"/>
      <c r="Q149" s="21640">
        <v>1</v>
      </c>
      <c r="R149" s="21648"/>
      <c r="S149" s="21629" t="str">
        <f>$J149</f>
        <v>1.5.5.1.1</v>
      </c>
      <c r="T149" s="21649" t="s">
        <v>546</v>
      </c>
      <c r="U149" s="21631"/>
      <c r="V149" s="21045"/>
      <c r="W149" s="21046"/>
      <c r="X149" s="21046"/>
      <c r="Y149" s="21046"/>
      <c r="Z149" s="21046"/>
      <c r="AA149" s="21046"/>
      <c r="AB149" s="21047"/>
      <c r="AC149" s="21045" t="s">
        <v>632</v>
      </c>
      <c r="AD149" s="21046"/>
      <c r="AE149" s="21046"/>
      <c r="AF149" s="21046"/>
      <c r="AG149" s="21046"/>
      <c r="AH149" s="21046"/>
      <c r="AI149" s="21046"/>
      <c r="AJ149" s="21045"/>
      <c r="AK149" s="21046"/>
      <c r="AL149" s="21046"/>
      <c r="AM149" s="21046"/>
      <c r="AN149" s="21046"/>
      <c r="AO149" s="21046"/>
      <c r="AP149" s="21047"/>
      <c r="AQ149" s="21045"/>
      <c r="AR149" s="21046"/>
      <c r="AS149" s="21046"/>
      <c r="AT149" s="21046"/>
      <c r="AU149" s="21046"/>
      <c r="AV149" s="21046"/>
      <c r="AW149" s="21047"/>
      <c r="AX149" s="21045"/>
      <c r="AY149" s="21046"/>
      <c r="AZ149" s="21046"/>
      <c r="BA149" s="21046"/>
      <c r="BB149" s="21046"/>
      <c r="BC149" s="21046"/>
      <c r="BD149" s="21047"/>
      <c r="BE149" s="21045"/>
      <c r="BF149" s="21046"/>
      <c r="BG149" s="21046"/>
      <c r="BH149" s="21046"/>
      <c r="BI149" s="21046"/>
      <c r="BJ149" s="21046"/>
      <c r="BK149" s="21047"/>
      <c r="BL149" s="21045"/>
      <c r="BM149" s="21046"/>
      <c r="BN149" s="21046"/>
      <c r="BO149" s="21046"/>
      <c r="BP149" s="21046"/>
      <c r="BQ149" s="21046"/>
      <c r="BR149" s="21047"/>
      <c r="BS149" s="21045"/>
      <c r="BT149" s="21046"/>
      <c r="BU149" s="21046"/>
      <c r="BV149" s="21046"/>
      <c r="BW149" s="21046"/>
      <c r="BX149" s="21046"/>
      <c r="BY149" s="21047"/>
      <c r="BZ149" s="21045"/>
      <c r="CA149" s="21046"/>
      <c r="CB149" s="21046"/>
      <c r="CC149" s="21046"/>
      <c r="CD149" s="21046"/>
      <c r="CE149" s="21046"/>
      <c r="CF149" s="21047"/>
      <c r="CG149" s="21045"/>
      <c r="CH149" s="21046"/>
      <c r="CI149" s="21046"/>
      <c r="CJ149" s="21046"/>
      <c r="CK149" s="21046"/>
      <c r="CL149" s="21046"/>
      <c r="CM149" s="21047"/>
      <c r="CN149" s="21045"/>
      <c r="CO149" s="21046"/>
      <c r="CP149" s="21046"/>
      <c r="CQ149" s="21046"/>
      <c r="CR149" s="21046"/>
      <c r="CS149" s="21046"/>
      <c r="CT149" s="21047"/>
      <c r="CU149" s="21047"/>
      <c r="CV149" s="21650" t="s">
        <v>621</v>
      </c>
      <c r="CW149" s="21281"/>
      <c r="CX149" s="21633"/>
      <c r="CY149" s="21633" t="str">
        <f>IF(T149="","",T149)</f>
        <v>Группа потребителей</v>
      </c>
      <c r="CZ149" s="21633"/>
      <c r="DA149" s="21633"/>
      <c r="DB149" s="21020">
        <v>0</v>
      </c>
    </row>
    <row s="55050" customFormat="1" customHeight="1" ht="23.25">
      <c r="A150" s="21621"/>
      <c r="B150" s="21621"/>
      <c r="C150" s="21621"/>
      <c r="D150" s="21621"/>
      <c r="E150" s="21622"/>
      <c r="F150" s="21622"/>
      <c r="G150" s="21622" t="s">
        <v>93</v>
      </c>
      <c r="H150" s="21622"/>
      <c r="I150" s="21647"/>
      <c r="J150" s="21647"/>
      <c r="K150" s="21638" t="str">
        <f>J149&amp;".1"</f>
        <v>1.5.5.1.1.1</v>
      </c>
      <c r="L150" s="21624"/>
      <c r="M150" s="21639"/>
      <c r="N150" s="21639"/>
      <c r="O150" s="21639"/>
      <c r="P150" s="21640"/>
      <c r="Q150" s="21640"/>
      <c r="R150" s="21648">
        <v>1</v>
      </c>
      <c r="S150" s="21629" t="str">
        <f>$K150</f>
        <v>1.5.5.1.1.1</v>
      </c>
      <c r="T150" s="21652"/>
      <c r="U150" s="21631"/>
      <c r="V150" s="21053"/>
      <c r="W150" s="21053"/>
      <c r="X150" s="21054"/>
      <c r="Y150" s="21055"/>
      <c r="Z150" s="21056" t="s">
        <v>63</v>
      </c>
      <c r="AA150" s="21055"/>
      <c r="AB150" s="21056" t="s">
        <v>63</v>
      </c>
      <c r="AC150" s="21053">
        <v>28</v>
      </c>
      <c r="AD150" s="21053"/>
      <c r="AE150" s="21054"/>
      <c r="AF150" s="33020">
        <v>45292.665972222225</v>
      </c>
      <c r="AG150" s="21056" t="s">
        <v>63</v>
      </c>
      <c r="AH150" s="33021">
        <v>45473.66627314815</v>
      </c>
      <c r="AI150" s="21056" t="s">
        <v>63</v>
      </c>
      <c r="AJ150" s="21053">
        <v>36.4</v>
      </c>
      <c r="AK150" s="21053"/>
      <c r="AL150" s="21054"/>
      <c r="AM150" s="33020">
        <v>45474.666666666664</v>
      </c>
      <c r="AN150" s="21056" t="s">
        <v>63</v>
      </c>
      <c r="AO150" s="33020">
        <v>45657.66680555556</v>
      </c>
      <c r="AP150" s="21056" t="s">
        <v>63</v>
      </c>
      <c r="AQ150" s="21053">
        <v>36.4</v>
      </c>
      <c r="AR150" s="21053"/>
      <c r="AS150" s="21054"/>
      <c r="AT150" s="33020">
        <v>45658.667175925926</v>
      </c>
      <c r="AU150" s="21056" t="s">
        <v>63</v>
      </c>
      <c r="AV150" s="33020">
        <v>45838.66751157407</v>
      </c>
      <c r="AW150" s="21056" t="s">
        <v>63</v>
      </c>
      <c r="AX150" s="21053">
        <v>43.49</v>
      </c>
      <c r="AY150" s="21053"/>
      <c r="AZ150" s="21054"/>
      <c r="BA150" s="33020">
        <v>45839.66810185185</v>
      </c>
      <c r="BB150" s="21056" t="s">
        <v>63</v>
      </c>
      <c r="BC150" s="33020">
        <v>46022.668333333335</v>
      </c>
      <c r="BD150" s="21056" t="s">
        <v>63</v>
      </c>
      <c r="BE150" s="21053">
        <v>43.3</v>
      </c>
      <c r="BF150" s="21053"/>
      <c r="BG150" s="21054"/>
      <c r="BH150" s="33020">
        <v>46023.669016203705</v>
      </c>
      <c r="BI150" s="21056" t="s">
        <v>63</v>
      </c>
      <c r="BJ150" s="33020">
        <v>46203.669282407405</v>
      </c>
      <c r="BK150" s="21056" t="s">
        <v>63</v>
      </c>
      <c r="BL150" s="21053">
        <v>43.3</v>
      </c>
      <c r="BM150" s="21053"/>
      <c r="BN150" s="21054"/>
      <c r="BO150" s="33020">
        <v>46204.6696875</v>
      </c>
      <c r="BP150" s="21056" t="s">
        <v>63</v>
      </c>
      <c r="BQ150" s="33020">
        <v>46387.670648148145</v>
      </c>
      <c r="BR150" s="21056" t="s">
        <v>63</v>
      </c>
      <c r="BS150" s="21053">
        <v>41.05</v>
      </c>
      <c r="BT150" s="21053"/>
      <c r="BU150" s="21054"/>
      <c r="BV150" s="33020">
        <v>46388.67119212963</v>
      </c>
      <c r="BW150" s="21056" t="s">
        <v>63</v>
      </c>
      <c r="BX150" s="33020">
        <v>46568.67141203704</v>
      </c>
      <c r="BY150" s="21056" t="s">
        <v>63</v>
      </c>
      <c r="BZ150" s="21053">
        <v>41.05</v>
      </c>
      <c r="CA150" s="21053"/>
      <c r="CB150" s="21054"/>
      <c r="CC150" s="33020">
        <v>46569.67233796296</v>
      </c>
      <c r="CD150" s="21056" t="s">
        <v>63</v>
      </c>
      <c r="CE150" s="33020">
        <v>46752.67296296296</v>
      </c>
      <c r="CF150" s="21056" t="s">
        <v>63</v>
      </c>
      <c r="CG150" s="21053">
        <v>41.05</v>
      </c>
      <c r="CH150" s="21053"/>
      <c r="CI150" s="21054"/>
      <c r="CJ150" s="33020">
        <v>46753.67359953704</v>
      </c>
      <c r="CK150" s="21056" t="s">
        <v>63</v>
      </c>
      <c r="CL150" s="33020">
        <v>46934.67402777778</v>
      </c>
      <c r="CM150" s="21056" t="s">
        <v>63</v>
      </c>
      <c r="CN150" s="21053">
        <v>43.85</v>
      </c>
      <c r="CO150" s="21053"/>
      <c r="CP150" s="21054"/>
      <c r="CQ150" s="33020">
        <v>46935.67460648148</v>
      </c>
      <c r="CR150" s="21056" t="s">
        <v>63</v>
      </c>
      <c r="CS150" s="33020">
        <v>47118.67486111111</v>
      </c>
      <c r="CT150" s="21056" t="s">
        <v>63</v>
      </c>
      <c r="CU150" s="21653"/>
      <c r="CV150"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0" s="21281">
        <f>STRCHECKDATE(V151:CU151)</f>
      </c>
      <c r="CX150" s="21633"/>
      <c r="CY150" s="21633" t="str">
        <f>IF(T150="","",T150)</f>
        <v/>
      </c>
      <c r="CZ150" s="21633"/>
      <c r="DA150" s="21633"/>
      <c r="DB150" s="21020">
        <v>0</v>
      </c>
    </row>
    <row s="55051" customFormat="1" customHeight="1" ht="14.25">
      <c r="A151" s="21621"/>
      <c r="B151" s="21621"/>
      <c r="C151" s="21621"/>
      <c r="D151" s="21621"/>
      <c r="E151" s="21622"/>
      <c r="F151" s="21622"/>
      <c r="G151" s="21622" t="s">
        <v>93</v>
      </c>
      <c r="H151" s="21622"/>
      <c r="I151" s="21647"/>
      <c r="J151" s="21647"/>
      <c r="K151" s="21638"/>
      <c r="L151" s="21624"/>
      <c r="M151" s="21639"/>
      <c r="N151" s="21639"/>
      <c r="O151" s="21639"/>
      <c r="P151" s="21640"/>
      <c r="Q151" s="21640"/>
      <c r="R151" s="21648"/>
      <c r="S151" s="21656"/>
      <c r="T151" s="21631"/>
      <c r="U151" s="21631"/>
      <c r="V151" s="21063"/>
      <c r="W151" s="21063"/>
      <c r="X151" s="21064" t="str">
        <f>Y150&amp;"-"&amp;AA150</f>
        <v>-</v>
      </c>
      <c r="Y151" s="21065"/>
      <c r="Z151" s="21056"/>
      <c r="AA151" s="21065"/>
      <c r="AB151" s="21056"/>
      <c r="AC151" s="21063"/>
      <c r="AD151" s="21063"/>
      <c r="AE151" s="21064" t="str">
        <f>AF150&amp;"-"&amp;AH150</f>
        <v>45292.665972222225-45473.66627314815</v>
      </c>
      <c r="AF151" s="21065"/>
      <c r="AG151" s="21056"/>
      <c r="AH151" s="21324"/>
      <c r="AI151" s="21056"/>
      <c r="AJ151" s="21063"/>
      <c r="AK151" s="21063"/>
      <c r="AL151" s="21064" t="str">
        <f>AM150&amp;"-"&amp;AO150</f>
        <v>45474.666666666664-45657.66680555556</v>
      </c>
      <c r="AM151" s="21065"/>
      <c r="AN151" s="21056"/>
      <c r="AO151" s="21065"/>
      <c r="AP151" s="21056"/>
      <c r="AQ151" s="21063"/>
      <c r="AR151" s="21063"/>
      <c r="AS151" s="21064" t="str">
        <f>AT150&amp;"-"&amp;AV150</f>
        <v>45658.667175925926-45838.66751157407</v>
      </c>
      <c r="AT151" s="21065"/>
      <c r="AU151" s="21056"/>
      <c r="AV151" s="21065"/>
      <c r="AW151" s="21056"/>
      <c r="AX151" s="21063"/>
      <c r="AY151" s="21063"/>
      <c r="AZ151" s="21064" t="str">
        <f>BA150&amp;"-"&amp;BC150</f>
        <v>45839.66810185185-46022.668333333335</v>
      </c>
      <c r="BA151" s="21065"/>
      <c r="BB151" s="21056"/>
      <c r="BC151" s="21065"/>
      <c r="BD151" s="21056"/>
      <c r="BE151" s="21063"/>
      <c r="BF151" s="21063"/>
      <c r="BG151" s="21064" t="str">
        <f>BH150&amp;"-"&amp;BJ150</f>
        <v>46023.669016203705-46203.669282407405</v>
      </c>
      <c r="BH151" s="21065"/>
      <c r="BI151" s="21056"/>
      <c r="BJ151" s="21065"/>
      <c r="BK151" s="21056"/>
      <c r="BL151" s="21063"/>
      <c r="BM151" s="21063"/>
      <c r="BN151" s="21064" t="str">
        <f>BO150&amp;"-"&amp;BQ150</f>
        <v>46204.6696875-46387.670648148145</v>
      </c>
      <c r="BO151" s="21065"/>
      <c r="BP151" s="21056"/>
      <c r="BQ151" s="21065"/>
      <c r="BR151" s="21056"/>
      <c r="BS151" s="21063"/>
      <c r="BT151" s="21063"/>
      <c r="BU151" s="21064" t="str">
        <f>BV150&amp;"-"&amp;BX150</f>
        <v>46388.67119212963-46568.67141203704</v>
      </c>
      <c r="BV151" s="21065"/>
      <c r="BW151" s="21056"/>
      <c r="BX151" s="21065"/>
      <c r="BY151" s="21056"/>
      <c r="BZ151" s="21063"/>
      <c r="CA151" s="21063"/>
      <c r="CB151" s="21064" t="str">
        <f>CC150&amp;"-"&amp;CE150</f>
        <v>46569.67233796296-46752.67296296296</v>
      </c>
      <c r="CC151" s="21065"/>
      <c r="CD151" s="21056"/>
      <c r="CE151" s="21065"/>
      <c r="CF151" s="21056"/>
      <c r="CG151" s="21063"/>
      <c r="CH151" s="21063"/>
      <c r="CI151" s="21064" t="str">
        <f>CJ150&amp;"-"&amp;CL150</f>
        <v>46753.67359953704-46934.67402777778</v>
      </c>
      <c r="CJ151" s="21065"/>
      <c r="CK151" s="21056"/>
      <c r="CL151" s="21065"/>
      <c r="CM151" s="21056"/>
      <c r="CN151" s="21063"/>
      <c r="CO151" s="21063"/>
      <c r="CP151" s="21064" t="str">
        <f>CQ150&amp;"-"&amp;CS150</f>
        <v>46935.67460648148-47118.67486111111</v>
      </c>
      <c r="CQ151" s="21065"/>
      <c r="CR151" s="21056"/>
      <c r="CS151" s="21065"/>
      <c r="CT151" s="21056"/>
      <c r="CU151" s="21657"/>
      <c r="CV151" s="21654"/>
      <c r="CW151" s="21281"/>
      <c r="CX151" s="21633"/>
      <c r="CY151" s="21633" t="str">
        <f>IF(T151="","",T151)</f>
        <v/>
      </c>
      <c r="CZ151" s="21633"/>
      <c r="DA151" s="21633"/>
      <c r="DB151" s="21020">
        <v>0</v>
      </c>
    </row>
    <row s="55052" customFormat="1" customHeight="1" ht="21">
      <c r="A152" s="21621"/>
      <c r="B152" s="21621"/>
      <c r="C152" s="21621"/>
      <c r="D152" s="21621"/>
      <c r="E152" s="21622"/>
      <c r="F152" s="21622"/>
      <c r="G152" s="21622" t="s">
        <v>93</v>
      </c>
      <c r="H152" s="21622"/>
      <c r="I152" s="21647"/>
      <c r="J152" s="21638"/>
      <c r="K152" s="21621"/>
      <c r="L152" s="21624"/>
      <c r="M152" s="21639"/>
      <c r="N152" s="21639"/>
      <c r="O152" s="21639"/>
      <c r="P152" s="21640"/>
      <c r="Q152" s="21640"/>
      <c r="R152" s="21641"/>
      <c r="S152" s="23957"/>
      <c r="T152" s="23958" t="s">
        <v>622</v>
      </c>
      <c r="U152" s="23959"/>
      <c r="V152" s="23960"/>
      <c r="W152" s="23961"/>
      <c r="X152" s="23962"/>
      <c r="Y152" s="23963"/>
      <c r="Z152" s="23964"/>
      <c r="AA152" s="23965"/>
      <c r="AB152" s="23966"/>
      <c r="AC152" s="23967"/>
      <c r="AD152" s="23968"/>
      <c r="AE152" s="23969"/>
      <c r="AF152" s="23970"/>
      <c r="AG152" s="23971"/>
      <c r="AH152" s="23972"/>
      <c r="AI152" s="23973"/>
      <c r="AJ152" s="23974"/>
      <c r="AK152" s="23975"/>
      <c r="AL152" s="23976"/>
      <c r="AM152" s="23977"/>
      <c r="AN152" s="23978"/>
      <c r="AO152" s="23979"/>
      <c r="AP152" s="23980"/>
      <c r="AQ152" s="23981"/>
      <c r="AR152" s="23982"/>
      <c r="AS152" s="23983"/>
      <c r="AT152" s="23984"/>
      <c r="AU152" s="23985"/>
      <c r="AV152" s="23986"/>
      <c r="AW152" s="23987"/>
      <c r="AX152" s="23988"/>
      <c r="AY152" s="23989"/>
      <c r="AZ152" s="23990"/>
      <c r="BA152" s="23991"/>
      <c r="BB152" s="23992"/>
      <c r="BC152" s="23993"/>
      <c r="BD152" s="23994"/>
      <c r="BE152" s="23995"/>
      <c r="BF152" s="23996"/>
      <c r="BG152" s="23997"/>
      <c r="BH152" s="23998"/>
      <c r="BI152" s="23999"/>
      <c r="BJ152" s="24000"/>
      <c r="BK152" s="24001"/>
      <c r="BL152" s="24002"/>
      <c r="BM152" s="24003"/>
      <c r="BN152" s="24004"/>
      <c r="BO152" s="24005"/>
      <c r="BP152" s="24006"/>
      <c r="BQ152" s="24007"/>
      <c r="BR152" s="24008"/>
      <c r="BS152" s="24009"/>
      <c r="BT152" s="24010"/>
      <c r="BU152" s="24011"/>
      <c r="BV152" s="24012"/>
      <c r="BW152" s="24013"/>
      <c r="BX152" s="24014"/>
      <c r="BY152" s="24015"/>
      <c r="BZ152" s="24016"/>
      <c r="CA152" s="24017"/>
      <c r="CB152" s="24018"/>
      <c r="CC152" s="24019"/>
      <c r="CD152" s="24020"/>
      <c r="CE152" s="24021"/>
      <c r="CF152" s="24022"/>
      <c r="CG152" s="24023"/>
      <c r="CH152" s="24024"/>
      <c r="CI152" s="24025"/>
      <c r="CJ152" s="24026"/>
      <c r="CK152" s="24027"/>
      <c r="CL152" s="24028"/>
      <c r="CM152" s="24029"/>
      <c r="CN152" s="24030"/>
      <c r="CO152" s="24031"/>
      <c r="CP152" s="24032"/>
      <c r="CQ152" s="24033"/>
      <c r="CR152" s="24034"/>
      <c r="CS152" s="24035"/>
      <c r="CT152" s="24036"/>
      <c r="CU152" s="24037"/>
      <c r="CV152" s="21632" t="s">
        <v>623</v>
      </c>
      <c r="CW152" s="21281"/>
      <c r="CX152" s="21633"/>
      <c r="CY152" s="21633" t="str">
        <f>IF(T152="","",T152)</f>
        <v>Добавить значение признака дифференциации</v>
      </c>
      <c r="CZ152" s="21633"/>
      <c r="DA152" s="21633"/>
      <c r="DB152" s="21020">
        <v>0</v>
      </c>
    </row>
    <row s="55134" customFormat="1" customHeight="1" ht="23.25">
      <c r="A153" s="33106"/>
      <c r="B153" s="33106"/>
      <c r="C153" s="33106"/>
      <c r="D153" s="33106"/>
      <c r="E153" s="33107"/>
      <c r="F153" s="33107"/>
      <c r="G153" s="33107"/>
      <c r="H153" s="33107"/>
      <c r="I153" s="33108"/>
      <c r="J153" s="33109" t="str">
        <f>I148&amp;".2"</f>
        <v>1.5.5.1.2</v>
      </c>
      <c r="K153" s="33106"/>
      <c r="L153" s="33110" t="s">
        <v>545</v>
      </c>
      <c r="M153" s="33111"/>
      <c r="N153" s="33111"/>
      <c r="O153" s="33111"/>
      <c r="P153" s="33112"/>
      <c r="Q153" s="33113" t="s">
        <v>106</v>
      </c>
      <c r="R153" s="33114"/>
      <c r="S153" s="33115" t="str">
        <f>$J153</f>
        <v>1.5.5.1.2</v>
      </c>
      <c r="T153" s="33116" t="s">
        <v>546</v>
      </c>
      <c r="U153" s="33117"/>
      <c r="V153" s="33118"/>
      <c r="W153" s="33119"/>
      <c r="X153" s="33119"/>
      <c r="Y153" s="33119"/>
      <c r="Z153" s="33119"/>
      <c r="AA153" s="33119"/>
      <c r="AB153" s="33120"/>
      <c r="AC153" s="33118" t="s">
        <v>633</v>
      </c>
      <c r="AD153" s="33119"/>
      <c r="AE153" s="33119"/>
      <c r="AF153" s="33119"/>
      <c r="AG153" s="33119"/>
      <c r="AH153" s="33119"/>
      <c r="AI153" s="33119"/>
      <c r="AJ153" s="33118"/>
      <c r="AK153" s="33119"/>
      <c r="AL153" s="33119"/>
      <c r="AM153" s="33119"/>
      <c r="AN153" s="33119"/>
      <c r="AO153" s="33119"/>
      <c r="AP153" s="33120"/>
      <c r="AQ153" s="33118"/>
      <c r="AR153" s="33119"/>
      <c r="AS153" s="33119"/>
      <c r="AT153" s="33119"/>
      <c r="AU153" s="33119"/>
      <c r="AV153" s="33119"/>
      <c r="AW153" s="33120"/>
      <c r="AX153" s="33118"/>
      <c r="AY153" s="33119"/>
      <c r="AZ153" s="33119"/>
      <c r="BA153" s="33119"/>
      <c r="BB153" s="33119"/>
      <c r="BC153" s="33119"/>
      <c r="BD153" s="33120"/>
      <c r="BE153" s="33118"/>
      <c r="BF153" s="33119"/>
      <c r="BG153" s="33119"/>
      <c r="BH153" s="33119"/>
      <c r="BI153" s="33119"/>
      <c r="BJ153" s="33119"/>
      <c r="BK153" s="33120"/>
      <c r="BL153" s="33118"/>
      <c r="BM153" s="33119"/>
      <c r="BN153" s="33119"/>
      <c r="BO153" s="33119"/>
      <c r="BP153" s="33119"/>
      <c r="BQ153" s="33119"/>
      <c r="BR153" s="33120"/>
      <c r="BS153" s="33118"/>
      <c r="BT153" s="33119"/>
      <c r="BU153" s="33119"/>
      <c r="BV153" s="33119"/>
      <c r="BW153" s="33119"/>
      <c r="BX153" s="33119"/>
      <c r="BY153" s="33120"/>
      <c r="BZ153" s="33118"/>
      <c r="CA153" s="33119"/>
      <c r="CB153" s="33119"/>
      <c r="CC153" s="33119"/>
      <c r="CD153" s="33119"/>
      <c r="CE153" s="33119"/>
      <c r="CF153" s="33120"/>
      <c r="CG153" s="33118"/>
      <c r="CH153" s="33119"/>
      <c r="CI153" s="33119"/>
      <c r="CJ153" s="33119"/>
      <c r="CK153" s="33119"/>
      <c r="CL153" s="33119"/>
      <c r="CM153" s="33120"/>
      <c r="CN153" s="33118"/>
      <c r="CO153" s="33119"/>
      <c r="CP153" s="33119"/>
      <c r="CQ153" s="33119"/>
      <c r="CR153" s="33119"/>
      <c r="CS153" s="33119"/>
      <c r="CT153" s="33121"/>
      <c r="CU153" s="33120"/>
      <c r="CV153" s="33122" t="s">
        <v>621</v>
      </c>
      <c r="CW153" s="33123"/>
      <c r="CX153" s="33124"/>
      <c r="CY153" s="33124" t="str">
        <f>IF(T153="","",T153)</f>
        <v>Группа потребителей</v>
      </c>
      <c r="CZ153" s="33124"/>
      <c r="DA153" s="33124"/>
      <c r="DB153" s="33125">
        <v>0</v>
      </c>
    </row>
    <row s="55135" customFormat="1" customHeight="1" ht="23.25">
      <c r="A154" s="33106"/>
      <c r="B154" s="33106"/>
      <c r="C154" s="33106"/>
      <c r="D154" s="33106"/>
      <c r="E154" s="33107"/>
      <c r="F154" s="33107"/>
      <c r="G154" s="33107"/>
      <c r="H154" s="33107"/>
      <c r="I154" s="33108"/>
      <c r="J154" s="33108" t="str">
        <f>I148&amp;".1"</f>
        <v>1.5.5.1.1</v>
      </c>
      <c r="K154" s="33109" t="str">
        <f>J153&amp;".1"</f>
        <v>1.5.5.1.2.1</v>
      </c>
      <c r="L154" s="33110"/>
      <c r="M154" s="33111"/>
      <c r="N154" s="33111"/>
      <c r="O154" s="33111"/>
      <c r="P154" s="33112"/>
      <c r="Q154" s="33112"/>
      <c r="R154" s="33114">
        <v>1</v>
      </c>
      <c r="S154" s="33115" t="str">
        <f>$K154</f>
        <v>1.5.5.1.2.1</v>
      </c>
      <c r="T154" s="33127"/>
      <c r="U154" s="33117"/>
      <c r="V154" s="33128"/>
      <c r="W154" s="33128"/>
      <c r="X154" s="33129"/>
      <c r="Y154" s="33020"/>
      <c r="Z154" s="33130" t="s">
        <v>63</v>
      </c>
      <c r="AA154" s="33020"/>
      <c r="AB154" s="33130" t="s">
        <v>63</v>
      </c>
      <c r="AC154" s="33128">
        <v>23.33</v>
      </c>
      <c r="AD154" s="33128"/>
      <c r="AE154" s="33129"/>
      <c r="AF154" s="33020">
        <v>45292.66615740741</v>
      </c>
      <c r="AG154" s="33130" t="s">
        <v>63</v>
      </c>
      <c r="AH154" s="33021">
        <v>45473.66638888889</v>
      </c>
      <c r="AI154" s="33130" t="s">
        <v>63</v>
      </c>
      <c r="AJ154" s="33128">
        <v>30.33</v>
      </c>
      <c r="AK154" s="33128"/>
      <c r="AL154" s="33129"/>
      <c r="AM154" s="33020">
        <v>45474.66674768519</v>
      </c>
      <c r="AN154" s="33130" t="s">
        <v>63</v>
      </c>
      <c r="AO154" s="33020">
        <v>45657.66685185185</v>
      </c>
      <c r="AP154" s="33130" t="s">
        <v>63</v>
      </c>
      <c r="AQ154" s="33128">
        <v>30.33</v>
      </c>
      <c r="AR154" s="33128"/>
      <c r="AS154" s="33129"/>
      <c r="AT154" s="33020">
        <v>45658.66731481482</v>
      </c>
      <c r="AU154" s="33130" t="s">
        <v>63</v>
      </c>
      <c r="AV154" s="33020">
        <v>45838.66767361111</v>
      </c>
      <c r="AW154" s="33130" t="s">
        <v>63</v>
      </c>
      <c r="AX154" s="33128">
        <v>36.24</v>
      </c>
      <c r="AY154" s="33128"/>
      <c r="AZ154" s="33129"/>
      <c r="BA154" s="33020">
        <v>45839.66820601852</v>
      </c>
      <c r="BB154" s="33130" t="s">
        <v>63</v>
      </c>
      <c r="BC154" s="33020">
        <v>46022.66840277778</v>
      </c>
      <c r="BD154" s="33130" t="s">
        <v>63</v>
      </c>
      <c r="BE154" s="33128">
        <v>36.08</v>
      </c>
      <c r="BF154" s="33128"/>
      <c r="BG154" s="33129"/>
      <c r="BH154" s="33020">
        <v>46023.66914351852</v>
      </c>
      <c r="BI154" s="33130" t="s">
        <v>63</v>
      </c>
      <c r="BJ154" s="33020">
        <v>46203.66939814815</v>
      </c>
      <c r="BK154" s="33130" t="s">
        <v>63</v>
      </c>
      <c r="BL154" s="33128">
        <v>36.08</v>
      </c>
      <c r="BM154" s="33128"/>
      <c r="BN154" s="33129"/>
      <c r="BO154" s="33020">
        <v>46204.66981481481</v>
      </c>
      <c r="BP154" s="33130" t="s">
        <v>63</v>
      </c>
      <c r="BQ154" s="33020">
        <v>46387.67019675926</v>
      </c>
      <c r="BR154" s="33130" t="s">
        <v>63</v>
      </c>
      <c r="BS154" s="33128">
        <v>34.21</v>
      </c>
      <c r="BT154" s="33128"/>
      <c r="BU154" s="33129"/>
      <c r="BV154" s="33020">
        <v>46388.67130787037</v>
      </c>
      <c r="BW154" s="33130" t="s">
        <v>63</v>
      </c>
      <c r="BX154" s="33020">
        <v>46568.67153935185</v>
      </c>
      <c r="BY154" s="33130" t="s">
        <v>63</v>
      </c>
      <c r="BZ154" s="33128">
        <v>34.21</v>
      </c>
      <c r="CA154" s="33128"/>
      <c r="CB154" s="33129"/>
      <c r="CC154" s="33020">
        <v>46569.6724537037</v>
      </c>
      <c r="CD154" s="33130" t="s">
        <v>63</v>
      </c>
      <c r="CE154" s="33020">
        <v>46752.67309027778</v>
      </c>
      <c r="CF154" s="33130" t="s">
        <v>63</v>
      </c>
      <c r="CG154" s="33128">
        <v>34.21</v>
      </c>
      <c r="CH154" s="33128"/>
      <c r="CI154" s="33129"/>
      <c r="CJ154" s="33020">
        <v>46753.673842592594</v>
      </c>
      <c r="CK154" s="33130" t="s">
        <v>63</v>
      </c>
      <c r="CL154" s="33020">
        <v>46203.6743287037</v>
      </c>
      <c r="CM154" s="33130" t="s">
        <v>63</v>
      </c>
      <c r="CN154" s="33128">
        <v>36.54</v>
      </c>
      <c r="CO154" s="33128"/>
      <c r="CP154" s="33129"/>
      <c r="CQ154" s="33020">
        <v>46935.67475694444</v>
      </c>
      <c r="CR154" s="33130" t="s">
        <v>63</v>
      </c>
      <c r="CS154" s="33020">
        <v>47118.674942129626</v>
      </c>
      <c r="CT154" s="33131" t="s">
        <v>63</v>
      </c>
      <c r="CU154" s="33132"/>
      <c r="CV154"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4" s="33123">
        <f>STRCHECKDATE(V155:CU155)</f>
      </c>
      <c r="CX154" s="33124"/>
      <c r="CY154" s="33124" t="str">
        <f>IF(T154="","",T154)</f>
        <v/>
      </c>
      <c r="CZ154" s="33124"/>
      <c r="DA154" s="33124"/>
      <c r="DB154" s="33125">
        <v>0</v>
      </c>
    </row>
    <row s="55136" customFormat="1" customHeight="1" ht="14.25">
      <c r="A155" s="33106"/>
      <c r="B155" s="33106"/>
      <c r="C155" s="33106"/>
      <c r="D155" s="33106"/>
      <c r="E155" s="33107"/>
      <c r="F155" s="33107"/>
      <c r="G155" s="33107"/>
      <c r="H155" s="33107"/>
      <c r="I155" s="33108"/>
      <c r="J155" s="33108" t="str">
        <f>I148&amp;".1"</f>
        <v>1.5.5.1.1</v>
      </c>
      <c r="K155" s="33109"/>
      <c r="L155" s="33110"/>
      <c r="M155" s="33111"/>
      <c r="N155" s="33111"/>
      <c r="O155" s="33111"/>
      <c r="P155" s="33112"/>
      <c r="Q155" s="33112"/>
      <c r="R155" s="33114"/>
      <c r="S155" s="33135"/>
      <c r="T155" s="33117"/>
      <c r="U155" s="33117"/>
      <c r="V155" s="33136"/>
      <c r="W155" s="33136"/>
      <c r="X155" s="33137" t="str">
        <f>Y154&amp;"-"&amp;AA154</f>
        <v>-</v>
      </c>
      <c r="Y155" s="33138"/>
      <c r="Z155" s="33130"/>
      <c r="AA155" s="33138"/>
      <c r="AB155" s="33130"/>
      <c r="AC155" s="33136"/>
      <c r="AD155" s="33136"/>
      <c r="AE155" s="33137" t="str">
        <f>AF154&amp;"-"&amp;AH154</f>
        <v>45292.66615740741-45473.66638888889</v>
      </c>
      <c r="AF155" s="33138"/>
      <c r="AG155" s="33130"/>
      <c r="AH155" s="33139"/>
      <c r="AI155" s="33130"/>
      <c r="AJ155" s="33136"/>
      <c r="AK155" s="33136"/>
      <c r="AL155" s="33137" t="str">
        <f>AM154&amp;"-"&amp;AO154</f>
        <v>45474.66674768519-45657.66685185185</v>
      </c>
      <c r="AM155" s="33138"/>
      <c r="AN155" s="33130"/>
      <c r="AO155" s="33138"/>
      <c r="AP155" s="33130"/>
      <c r="AQ155" s="33136"/>
      <c r="AR155" s="33136"/>
      <c r="AS155" s="33137" t="str">
        <f>AT154&amp;"-"&amp;AV154</f>
        <v>45658.66731481482-45838.66767361111</v>
      </c>
      <c r="AT155" s="33138"/>
      <c r="AU155" s="33130"/>
      <c r="AV155" s="33138"/>
      <c r="AW155" s="33130"/>
      <c r="AX155" s="33136"/>
      <c r="AY155" s="33136"/>
      <c r="AZ155" s="33137" t="str">
        <f>BA154&amp;"-"&amp;BC154</f>
        <v>45839.66820601852-46022.66840277778</v>
      </c>
      <c r="BA155" s="33138"/>
      <c r="BB155" s="33130"/>
      <c r="BC155" s="33138"/>
      <c r="BD155" s="33130"/>
      <c r="BE155" s="33136"/>
      <c r="BF155" s="33136"/>
      <c r="BG155" s="33137" t="str">
        <f>BH154&amp;"-"&amp;BJ154</f>
        <v>46023.66914351852-46203.66939814815</v>
      </c>
      <c r="BH155" s="33138"/>
      <c r="BI155" s="33130"/>
      <c r="BJ155" s="33138"/>
      <c r="BK155" s="33130"/>
      <c r="BL155" s="33136"/>
      <c r="BM155" s="33136"/>
      <c r="BN155" s="33137" t="str">
        <f>BO154&amp;"-"&amp;BQ154</f>
        <v>46204.66981481481-46387.67019675926</v>
      </c>
      <c r="BO155" s="33138"/>
      <c r="BP155" s="33130"/>
      <c r="BQ155" s="33138"/>
      <c r="BR155" s="33130"/>
      <c r="BS155" s="33136"/>
      <c r="BT155" s="33136"/>
      <c r="BU155" s="33137" t="str">
        <f>BV154&amp;"-"&amp;BX154</f>
        <v>46388.67130787037-46568.67153935185</v>
      </c>
      <c r="BV155" s="33138"/>
      <c r="BW155" s="33130"/>
      <c r="BX155" s="33138"/>
      <c r="BY155" s="33130"/>
      <c r="BZ155" s="33136"/>
      <c r="CA155" s="33136"/>
      <c r="CB155" s="33137" t="str">
        <f>CC154&amp;"-"&amp;CE154</f>
        <v>46569.6724537037-46752.67309027778</v>
      </c>
      <c r="CC155" s="33138"/>
      <c r="CD155" s="33130"/>
      <c r="CE155" s="33138"/>
      <c r="CF155" s="33130"/>
      <c r="CG155" s="33136"/>
      <c r="CH155" s="33136"/>
      <c r="CI155" s="33137" t="str">
        <f>CJ154&amp;"-"&amp;CL154</f>
        <v>46753.673842592594-46203.6743287037</v>
      </c>
      <c r="CJ155" s="33138"/>
      <c r="CK155" s="33130"/>
      <c r="CL155" s="33138"/>
      <c r="CM155" s="33130"/>
      <c r="CN155" s="33136"/>
      <c r="CO155" s="33136"/>
      <c r="CP155" s="33137" t="str">
        <f>CQ154&amp;"-"&amp;CS154</f>
        <v>46935.67475694444-47118.674942129626</v>
      </c>
      <c r="CQ155" s="33138"/>
      <c r="CR155" s="33130"/>
      <c r="CS155" s="33138"/>
      <c r="CT155" s="33131"/>
      <c r="CU155" s="33140"/>
      <c r="CV155" s="33133"/>
      <c r="CW155" s="33123"/>
      <c r="CX155" s="33124"/>
      <c r="CY155" s="33124" t="str">
        <f>IF(T155="","",T155)</f>
        <v/>
      </c>
      <c r="CZ155" s="33124"/>
      <c r="DA155" s="33124"/>
      <c r="DB155" s="33125">
        <v>0</v>
      </c>
    </row>
    <row s="55137" customFormat="1" customHeight="1" ht="21">
      <c r="A156" s="33106"/>
      <c r="B156" s="33106"/>
      <c r="C156" s="33106"/>
      <c r="D156" s="33106"/>
      <c r="E156" s="33107"/>
      <c r="F156" s="33107"/>
      <c r="G156" s="33107"/>
      <c r="H156" s="33107"/>
      <c r="I156" s="33108"/>
      <c r="J156" s="33109" t="str">
        <f>I148&amp;".1"</f>
        <v>1.5.5.1.1</v>
      </c>
      <c r="K156" s="33106"/>
      <c r="L156" s="33110"/>
      <c r="M156" s="33111"/>
      <c r="N156" s="33111"/>
      <c r="O156" s="33111"/>
      <c r="P156" s="33112"/>
      <c r="Q156" s="33112"/>
      <c r="R156" s="33142"/>
      <c r="S156" s="33482"/>
      <c r="T156" s="33483" t="s">
        <v>622</v>
      </c>
      <c r="U156" s="33484"/>
      <c r="V156" s="33485"/>
      <c r="W156" s="33486"/>
      <c r="X156" s="33487"/>
      <c r="Y156" s="33488"/>
      <c r="Z156" s="33489"/>
      <c r="AA156" s="33490"/>
      <c r="AB156" s="33491"/>
      <c r="AC156" s="33492"/>
      <c r="AD156" s="33493"/>
      <c r="AE156" s="33494"/>
      <c r="AF156" s="33495"/>
      <c r="AG156" s="33496"/>
      <c r="AH156" s="33497"/>
      <c r="AI156" s="33498"/>
      <c r="AJ156" s="33499"/>
      <c r="AK156" s="33500"/>
      <c r="AL156" s="33501"/>
      <c r="AM156" s="33502"/>
      <c r="AN156" s="33503"/>
      <c r="AO156" s="33504"/>
      <c r="AP156" s="33505"/>
      <c r="AQ156" s="33506"/>
      <c r="AR156" s="33507"/>
      <c r="AS156" s="33508"/>
      <c r="AT156" s="33509"/>
      <c r="AU156" s="33510"/>
      <c r="AV156" s="33511"/>
      <c r="AW156" s="33512"/>
      <c r="AX156" s="33513"/>
      <c r="AY156" s="33514"/>
      <c r="AZ156" s="33515"/>
      <c r="BA156" s="33516"/>
      <c r="BB156" s="33517"/>
      <c r="BC156" s="33518"/>
      <c r="BD156" s="33519"/>
      <c r="BE156" s="33520"/>
      <c r="BF156" s="33521"/>
      <c r="BG156" s="33522"/>
      <c r="BH156" s="33523"/>
      <c r="BI156" s="33524"/>
      <c r="BJ156" s="33525"/>
      <c r="BK156" s="33526"/>
      <c r="BL156" s="33527"/>
      <c r="BM156" s="33528"/>
      <c r="BN156" s="33529"/>
      <c r="BO156" s="33530"/>
      <c r="BP156" s="33531"/>
      <c r="BQ156" s="33532"/>
      <c r="BR156" s="33533"/>
      <c r="BS156" s="33534"/>
      <c r="BT156" s="33535"/>
      <c r="BU156" s="33536"/>
      <c r="BV156" s="33537"/>
      <c r="BW156" s="33538"/>
      <c r="BX156" s="33539"/>
      <c r="BY156" s="33540"/>
      <c r="BZ156" s="33541"/>
      <c r="CA156" s="33542"/>
      <c r="CB156" s="33543"/>
      <c r="CC156" s="33544"/>
      <c r="CD156" s="33545"/>
      <c r="CE156" s="33546"/>
      <c r="CF156" s="33547"/>
      <c r="CG156" s="33548"/>
      <c r="CH156" s="33549"/>
      <c r="CI156" s="33550"/>
      <c r="CJ156" s="33551"/>
      <c r="CK156" s="33552"/>
      <c r="CL156" s="33553"/>
      <c r="CM156" s="33554"/>
      <c r="CN156" s="33555"/>
      <c r="CO156" s="33556"/>
      <c r="CP156" s="33557"/>
      <c r="CQ156" s="33558"/>
      <c r="CR156" s="33559"/>
      <c r="CS156" s="33560"/>
      <c r="CT156" s="33561"/>
      <c r="CU156" s="33562"/>
      <c r="CV156" s="33224" t="s">
        <v>623</v>
      </c>
      <c r="CW156" s="33123"/>
      <c r="CX156" s="33124"/>
      <c r="CY156" s="33124" t="str">
        <f>IF(T156="","",T156)</f>
        <v>Добавить значение признака дифференциации</v>
      </c>
      <c r="CZ156" s="33124"/>
      <c r="DA156" s="33124"/>
      <c r="DB156" s="33125">
        <v>0</v>
      </c>
    </row>
    <row s="55219" customFormat="1" customHeight="1" ht="21">
      <c r="A157" s="21621"/>
      <c r="B157" s="21621"/>
      <c r="C157" s="21621"/>
      <c r="D157" s="21621"/>
      <c r="E157" s="21622"/>
      <c r="F157" s="21622"/>
      <c r="G157" s="21622" t="s">
        <v>93</v>
      </c>
      <c r="H157" s="21622"/>
      <c r="I157" s="21638"/>
      <c r="J157" s="21621"/>
      <c r="K157" s="21621"/>
      <c r="L157" s="21624"/>
      <c r="M157" s="21639"/>
      <c r="N157" s="21639"/>
      <c r="O157" s="21639"/>
      <c r="P157" s="21640"/>
      <c r="Q157" s="21640"/>
      <c r="R157" s="21641"/>
      <c r="S157" s="24039"/>
      <c r="T157" s="24040" t="s">
        <v>551</v>
      </c>
      <c r="U157" s="24041"/>
      <c r="V157" s="24042"/>
      <c r="W157" s="24043"/>
      <c r="X157" s="24044"/>
      <c r="Y157" s="24045"/>
      <c r="Z157" s="24046"/>
      <c r="AA157" s="24047"/>
      <c r="AB157" s="24048"/>
      <c r="AC157" s="24049"/>
      <c r="AD157" s="24050"/>
      <c r="AE157" s="24051"/>
      <c r="AF157" s="24052"/>
      <c r="AG157" s="24053"/>
      <c r="AH157" s="24054"/>
      <c r="AI157" s="24055"/>
      <c r="AJ157" s="24056"/>
      <c r="AK157" s="24057"/>
      <c r="AL157" s="24058"/>
      <c r="AM157" s="24059"/>
      <c r="AN157" s="24060"/>
      <c r="AO157" s="24061"/>
      <c r="AP157" s="24062"/>
      <c r="AQ157" s="24063"/>
      <c r="AR157" s="24064"/>
      <c r="AS157" s="24065"/>
      <c r="AT157" s="24066"/>
      <c r="AU157" s="24067"/>
      <c r="AV157" s="24068"/>
      <c r="AW157" s="24069"/>
      <c r="AX157" s="24070"/>
      <c r="AY157" s="24071"/>
      <c r="AZ157" s="24072"/>
      <c r="BA157" s="24073"/>
      <c r="BB157" s="24074"/>
      <c r="BC157" s="24075"/>
      <c r="BD157" s="24076"/>
      <c r="BE157" s="24077"/>
      <c r="BF157" s="24078"/>
      <c r="BG157" s="24079"/>
      <c r="BH157" s="24080"/>
      <c r="BI157" s="24081"/>
      <c r="BJ157" s="24082"/>
      <c r="BK157" s="24083"/>
      <c r="BL157" s="24084"/>
      <c r="BM157" s="24085"/>
      <c r="BN157" s="24086"/>
      <c r="BO157" s="24087"/>
      <c r="BP157" s="24088"/>
      <c r="BQ157" s="24089"/>
      <c r="BR157" s="24090"/>
      <c r="BS157" s="24091"/>
      <c r="BT157" s="24092"/>
      <c r="BU157" s="24093"/>
      <c r="BV157" s="24094"/>
      <c r="BW157" s="24095"/>
      <c r="BX157" s="24096"/>
      <c r="BY157" s="24097"/>
      <c r="BZ157" s="24098"/>
      <c r="CA157" s="24099"/>
      <c r="CB157" s="24100"/>
      <c r="CC157" s="24101"/>
      <c r="CD157" s="24102"/>
      <c r="CE157" s="24103"/>
      <c r="CF157" s="24104"/>
      <c r="CG157" s="24105"/>
      <c r="CH157" s="24106"/>
      <c r="CI157" s="24107"/>
      <c r="CJ157" s="24108"/>
      <c r="CK157" s="24109"/>
      <c r="CL157" s="24110"/>
      <c r="CM157" s="24111"/>
      <c r="CN157" s="24112"/>
      <c r="CO157" s="24113"/>
      <c r="CP157" s="24114"/>
      <c r="CQ157" s="24115"/>
      <c r="CR157" s="24116"/>
      <c r="CS157" s="24117"/>
      <c r="CT157" s="24118"/>
      <c r="CU157" s="24119"/>
      <c r="CV157" s="24120"/>
      <c r="CW157" s="21281"/>
      <c r="CX157" s="21633"/>
      <c r="CY157" s="21633" t="str">
        <f>IF(T157="","",T157)</f>
        <v>Добавить группу потребителей</v>
      </c>
      <c r="CZ157" s="21633"/>
      <c r="DA157" s="21633"/>
      <c r="DB157" s="21020">
        <v>0</v>
      </c>
    </row>
    <row s="55302" customFormat="1" customHeight="1" ht="14.25">
      <c r="A158" s="21621"/>
      <c r="B158" s="21621"/>
      <c r="C158" s="21621"/>
      <c r="D158" s="21621"/>
      <c r="E158" s="21622"/>
      <c r="F158" s="21622"/>
      <c r="G158" s="21622" t="s">
        <v>93</v>
      </c>
      <c r="H158" s="21623"/>
      <c r="I158" s="21621"/>
      <c r="J158" s="21621"/>
      <c r="K158" s="21621"/>
      <c r="L158" s="21624"/>
      <c r="M158" s="21625"/>
      <c r="N158" s="21625"/>
      <c r="O158" s="21264"/>
      <c r="P158" s="21910"/>
      <c r="Q158" s="21911"/>
      <c r="R158" s="21912"/>
      <c r="S158" s="24122"/>
      <c r="T158" s="24123" t="s">
        <v>624</v>
      </c>
      <c r="U158" s="24124"/>
      <c r="V158" s="24125"/>
      <c r="W158" s="24126"/>
      <c r="X158" s="24127"/>
      <c r="Y158" s="24128"/>
      <c r="Z158" s="24129"/>
      <c r="AA158" s="24130"/>
      <c r="AB158" s="24131"/>
      <c r="AC158" s="24132"/>
      <c r="AD158" s="24133"/>
      <c r="AE158" s="24134"/>
      <c r="AF158" s="24135"/>
      <c r="AG158" s="24136"/>
      <c r="AH158" s="24137"/>
      <c r="AI158" s="24138"/>
      <c r="AJ158" s="24139"/>
      <c r="AK158" s="24140"/>
      <c r="AL158" s="24141"/>
      <c r="AM158" s="24142"/>
      <c r="AN158" s="24143"/>
      <c r="AO158" s="24144"/>
      <c r="AP158" s="24145"/>
      <c r="AQ158" s="24146"/>
      <c r="AR158" s="24147"/>
      <c r="AS158" s="24148"/>
      <c r="AT158" s="24149"/>
      <c r="AU158" s="24150"/>
      <c r="AV158" s="24151"/>
      <c r="AW158" s="24152"/>
      <c r="AX158" s="24153"/>
      <c r="AY158" s="24154"/>
      <c r="AZ158" s="24155"/>
      <c r="BA158" s="24156"/>
      <c r="BB158" s="24157"/>
      <c r="BC158" s="24158"/>
      <c r="BD158" s="24159"/>
      <c r="BE158" s="24160"/>
      <c r="BF158" s="24161"/>
      <c r="BG158" s="24162"/>
      <c r="BH158" s="24163"/>
      <c r="BI158" s="24164"/>
      <c r="BJ158" s="24165"/>
      <c r="BK158" s="24166"/>
      <c r="BL158" s="24167"/>
      <c r="BM158" s="24168"/>
      <c r="BN158" s="24169"/>
      <c r="BO158" s="24170"/>
      <c r="BP158" s="24171"/>
      <c r="BQ158" s="24172"/>
      <c r="BR158" s="24173"/>
      <c r="BS158" s="24174"/>
      <c r="BT158" s="24175"/>
      <c r="BU158" s="24176"/>
      <c r="BV158" s="24177"/>
      <c r="BW158" s="24178"/>
      <c r="BX158" s="24179"/>
      <c r="BY158" s="24180"/>
      <c r="BZ158" s="24181"/>
      <c r="CA158" s="24182"/>
      <c r="CB158" s="24183"/>
      <c r="CC158" s="24184"/>
      <c r="CD158" s="24185"/>
      <c r="CE158" s="24186"/>
      <c r="CF158" s="24187"/>
      <c r="CG158" s="24188"/>
      <c r="CH158" s="24189"/>
      <c r="CI158" s="24190"/>
      <c r="CJ158" s="24191"/>
      <c r="CK158" s="24192"/>
      <c r="CL158" s="24193"/>
      <c r="CM158" s="24194"/>
      <c r="CN158" s="24195"/>
      <c r="CO158" s="24196"/>
      <c r="CP158" s="24197"/>
      <c r="CQ158" s="24198"/>
      <c r="CR158" s="24199"/>
      <c r="CS158" s="24200"/>
      <c r="CT158" s="24201"/>
      <c r="CU158" s="24202"/>
      <c r="CV158" s="24203"/>
      <c r="CW158" s="21281"/>
      <c r="CX158" s="21633"/>
      <c r="CY158" s="21633" t="str">
        <f>IF(T158="","",T158)</f>
        <v>Добавить наименование признака дифференциации</v>
      </c>
      <c r="CZ158" s="21633"/>
      <c r="DA158" s="21633"/>
      <c r="DB158" s="21020">
        <v>0</v>
      </c>
    </row>
    <row s="55385" customFormat="1" customHeight="1" ht="14.25">
      <c r="A159" s="21996"/>
      <c r="B159" s="21996"/>
      <c r="C159" s="21996"/>
      <c r="D159" s="21996"/>
      <c r="E159" s="21622"/>
      <c r="F159" s="21623" t="s">
        <v>93</v>
      </c>
      <c r="G159" s="21996"/>
      <c r="H159" s="21996"/>
      <c r="I159" s="21996"/>
      <c r="J159" s="21996"/>
      <c r="K159" s="21996"/>
      <c r="L159" s="21997"/>
      <c r="M159" s="21998"/>
      <c r="N159" s="21998"/>
      <c r="O159" s="21281"/>
      <c r="P159" s="21999"/>
      <c r="Q159" s="22000"/>
      <c r="R159" s="21999"/>
      <c r="S159" s="22001"/>
      <c r="T159" s="22002" t="s">
        <v>290</v>
      </c>
      <c r="U159" s="21260"/>
      <c r="V159" s="21260"/>
      <c r="W159" s="21260"/>
      <c r="X159" s="21260"/>
      <c r="Y159" s="21260"/>
      <c r="Z159" s="21260"/>
      <c r="AA159" s="21260"/>
      <c r="AB159" s="21260"/>
      <c r="AC159" s="21260"/>
      <c r="AD159" s="21260"/>
      <c r="AE159" s="21260"/>
      <c r="AF159" s="21260"/>
      <c r="AG159" s="21260"/>
      <c r="AH159" s="21260"/>
      <c r="AI159" s="21260"/>
      <c r="AJ159" s="21260"/>
      <c r="AK159" s="21260"/>
      <c r="AL159" s="21260"/>
      <c r="AM159" s="21260"/>
      <c r="AN159" s="21260"/>
      <c r="AO159" s="21260"/>
      <c r="AP159" s="21260"/>
      <c r="AQ159" s="21260"/>
      <c r="AR159" s="21260"/>
      <c r="AS159" s="21260"/>
      <c r="AT159" s="21260"/>
      <c r="AU159" s="21260"/>
      <c r="AV159" s="21260"/>
      <c r="AW159" s="21260"/>
      <c r="AX159" s="21260"/>
      <c r="AY159" s="21260"/>
      <c r="AZ159" s="21260"/>
      <c r="BA159" s="21260"/>
      <c r="BB159" s="21260"/>
      <c r="BC159" s="21260"/>
      <c r="BD159" s="21260"/>
      <c r="BE159" s="21260"/>
      <c r="BF159" s="21260"/>
      <c r="BG159" s="21260"/>
      <c r="BH159" s="21260"/>
      <c r="BI159" s="21260"/>
      <c r="BJ159" s="21260"/>
      <c r="BK159" s="21260"/>
      <c r="BL159" s="21260"/>
      <c r="BM159" s="21260"/>
      <c r="BN159" s="21260"/>
      <c r="BO159" s="21260"/>
      <c r="BP159" s="21260"/>
      <c r="BQ159" s="21260"/>
      <c r="BR159" s="21260"/>
      <c r="BS159" s="21260"/>
      <c r="BT159" s="21260"/>
      <c r="BU159" s="21260"/>
      <c r="BV159" s="21260"/>
      <c r="BW159" s="21260"/>
      <c r="BX159" s="21260"/>
      <c r="BY159" s="21260"/>
      <c r="BZ159" s="21260"/>
      <c r="CA159" s="21260"/>
      <c r="CB159" s="21260"/>
      <c r="CC159" s="21260"/>
      <c r="CD159" s="21260"/>
      <c r="CE159" s="21260"/>
      <c r="CF159" s="21260"/>
      <c r="CG159" s="21260"/>
      <c r="CH159" s="21260"/>
      <c r="CI159" s="21260"/>
      <c r="CJ159" s="21260"/>
      <c r="CK159" s="21260"/>
      <c r="CL159" s="21260"/>
      <c r="CM159" s="21260"/>
      <c r="CN159" s="21260"/>
      <c r="CO159" s="21260"/>
      <c r="CP159" s="21260"/>
      <c r="CQ159" s="21260"/>
      <c r="CR159" s="21260"/>
      <c r="CS159" s="21260"/>
      <c r="CT159" s="21260"/>
      <c r="CU159" s="21260"/>
      <c r="CV159" s="21260"/>
      <c r="CW159" s="21281"/>
      <c r="CX159" s="21633"/>
      <c r="CY159" s="21633" t="str">
        <f>IF(T159="","",T159)</f>
        <v>Добавить централизованную систему для дифференциации</v>
      </c>
      <c r="CZ159" s="21633"/>
      <c r="DA159" s="21633"/>
      <c r="DB159" s="21281">
        <v>0</v>
      </c>
    </row>
    <row s="55386" customFormat="1" customHeight="1" ht="23.25">
      <c r="A160" s="21621"/>
      <c r="B160" s="21621" t="s">
        <v>320</v>
      </c>
      <c r="C160" s="21621"/>
      <c r="D160" s="21621"/>
      <c r="E160" s="21622"/>
      <c r="F160" s="21623" t="s">
        <v>94</v>
      </c>
      <c r="G160" s="21621"/>
      <c r="H160" s="21621"/>
      <c r="I160" s="21621"/>
      <c r="J160" s="21621"/>
      <c r="K160" s="21621"/>
      <c r="L160" s="21624"/>
      <c r="M160" s="21625"/>
      <c r="N160" s="21625"/>
      <c r="O160" s="21625"/>
      <c r="P160" s="21626"/>
      <c r="Q160" s="21627"/>
      <c r="R160" s="21628"/>
      <c r="S160" s="21629" t="str">
        <f>INDEX(PT_DIFFERENTIATION_NUM_TER,MATCH(B160,PT_DIFFERENTIATION_TER_ID,0))</f>
        <v>1.6</v>
      </c>
      <c r="T160" s="21630" t="s">
        <v>536</v>
      </c>
      <c r="U160" s="21631"/>
      <c r="V160" s="21025"/>
      <c r="W160" s="21026"/>
      <c r="X160" s="21026"/>
      <c r="Y160" s="21026"/>
      <c r="Z160" s="21026"/>
      <c r="AA160" s="21026"/>
      <c r="AB160" s="21027"/>
      <c r="AC160" s="21025" t="str">
        <f>INDEX(PT_DIFFERENTIATION_TER,MATCH(B160,PT_DIFFERENTIATION_TER_ID,0))</f>
        <v>Территория 6</v>
      </c>
      <c r="AD160" s="21026"/>
      <c r="AE160" s="21026"/>
      <c r="AF160" s="21026"/>
      <c r="AG160" s="21026"/>
      <c r="AH160" s="21026"/>
      <c r="AI160" s="21026"/>
      <c r="AJ160" s="21025"/>
      <c r="AK160" s="21026"/>
      <c r="AL160" s="21026"/>
      <c r="AM160" s="21026"/>
      <c r="AN160" s="21026"/>
      <c r="AO160" s="21026"/>
      <c r="AP160" s="21027"/>
      <c r="AQ160" s="21025"/>
      <c r="AR160" s="21026"/>
      <c r="AS160" s="21026"/>
      <c r="AT160" s="21026"/>
      <c r="AU160" s="21026"/>
      <c r="AV160" s="21026"/>
      <c r="AW160" s="21027"/>
      <c r="AX160" s="21025"/>
      <c r="AY160" s="21026"/>
      <c r="AZ160" s="21026"/>
      <c r="BA160" s="21026"/>
      <c r="BB160" s="21026"/>
      <c r="BC160" s="21026"/>
      <c r="BD160" s="21027"/>
      <c r="BE160" s="21025"/>
      <c r="BF160" s="21026"/>
      <c r="BG160" s="21026"/>
      <c r="BH160" s="21026"/>
      <c r="BI160" s="21026"/>
      <c r="BJ160" s="21026"/>
      <c r="BK160" s="21027"/>
      <c r="BL160" s="21025"/>
      <c r="BM160" s="21026"/>
      <c r="BN160" s="21026"/>
      <c r="BO160" s="21026"/>
      <c r="BP160" s="21026"/>
      <c r="BQ160" s="21026"/>
      <c r="BR160" s="21027"/>
      <c r="BS160" s="21025"/>
      <c r="BT160" s="21026"/>
      <c r="BU160" s="21026"/>
      <c r="BV160" s="21026"/>
      <c r="BW160" s="21026"/>
      <c r="BX160" s="21026"/>
      <c r="BY160" s="21027"/>
      <c r="BZ160" s="21025"/>
      <c r="CA160" s="21026"/>
      <c r="CB160" s="21026"/>
      <c r="CC160" s="21026"/>
      <c r="CD160" s="21026"/>
      <c r="CE160" s="21026"/>
      <c r="CF160" s="21027"/>
      <c r="CG160" s="21025"/>
      <c r="CH160" s="21026"/>
      <c r="CI160" s="21026"/>
      <c r="CJ160" s="21026"/>
      <c r="CK160" s="21026"/>
      <c r="CL160" s="21026"/>
      <c r="CM160" s="21027"/>
      <c r="CN160" s="21025"/>
      <c r="CO160" s="21026"/>
      <c r="CP160" s="21026"/>
      <c r="CQ160" s="21026"/>
      <c r="CR160" s="21026"/>
      <c r="CS160" s="21026"/>
      <c r="CT160" s="21027"/>
      <c r="CU160" s="21027"/>
      <c r="CV160" s="21632" t="s">
        <v>537</v>
      </c>
      <c r="CW160" s="21281"/>
      <c r="CX160" s="21633"/>
      <c r="CY160" s="21633" t="str">
        <f>IF(T160="","",T160)</f>
        <v>Территория действия тарифа</v>
      </c>
      <c r="CZ160" s="21633"/>
      <c r="DA160" s="21633"/>
      <c r="DB160" s="21020">
        <v>0</v>
      </c>
    </row>
    <row s="55387" customFormat="1" customHeight="1" ht="23.25">
      <c r="A161" s="21621"/>
      <c r="B161" s="21621"/>
      <c r="C161" s="21621" t="s">
        <v>321</v>
      </c>
      <c r="D161" s="21621"/>
      <c r="E161" s="21622"/>
      <c r="F161" s="21622" t="s">
        <v>121</v>
      </c>
      <c r="G161" s="21623">
        <v>1</v>
      </c>
      <c r="H161" s="21621"/>
      <c r="I161" s="21621"/>
      <c r="J161" s="21621"/>
      <c r="K161" s="21621"/>
      <c r="L161" s="21624"/>
      <c r="M161" s="21625"/>
      <c r="N161" s="21625"/>
      <c r="O161" s="21625"/>
      <c r="P161" s="21635"/>
      <c r="Q161" s="21627"/>
      <c r="R161" s="21628"/>
      <c r="S161" s="21629" t="str">
        <f>INDEX(PT_DIFFERENTIATION_NUM_CS,MATCH(C161,PT_DIFFERENTIATION_CS_ID,0))</f>
        <v>1.6.1</v>
      </c>
      <c r="T161" s="21636" t="s">
        <v>617</v>
      </c>
      <c r="U161" s="21631"/>
      <c r="V161" s="21025"/>
      <c r="W161" s="21026"/>
      <c r="X161" s="21026"/>
      <c r="Y161" s="21026"/>
      <c r="Z161" s="21026"/>
      <c r="AA161" s="21026"/>
      <c r="AB161" s="21027"/>
      <c r="AC161" s="21025" t="str">
        <f>INDEX(PT_DIFFERENTIATION_CS,MATCH(C161,PT_DIFFERENTIATION_CS_ID,0))</f>
        <v>с Дмитриевка, с. Меркушевка, с. Синий Гай, с. Искра, с. Майское</v>
      </c>
      <c r="AD161" s="21026"/>
      <c r="AE161" s="21026"/>
      <c r="AF161" s="21026"/>
      <c r="AG161" s="21026"/>
      <c r="AH161" s="21026"/>
      <c r="AI161" s="21026"/>
      <c r="AJ161" s="21025"/>
      <c r="AK161" s="21026"/>
      <c r="AL161" s="21026"/>
      <c r="AM161" s="21026"/>
      <c r="AN161" s="21026"/>
      <c r="AO161" s="21026"/>
      <c r="AP161" s="21027"/>
      <c r="AQ161" s="21025"/>
      <c r="AR161" s="21026"/>
      <c r="AS161" s="21026"/>
      <c r="AT161" s="21026"/>
      <c r="AU161" s="21026"/>
      <c r="AV161" s="21026"/>
      <c r="AW161" s="21027"/>
      <c r="AX161" s="21025"/>
      <c r="AY161" s="21026"/>
      <c r="AZ161" s="21026"/>
      <c r="BA161" s="21026"/>
      <c r="BB161" s="21026"/>
      <c r="BC161" s="21026"/>
      <c r="BD161" s="21027"/>
      <c r="BE161" s="21025"/>
      <c r="BF161" s="21026"/>
      <c r="BG161" s="21026"/>
      <c r="BH161" s="21026"/>
      <c r="BI161" s="21026"/>
      <c r="BJ161" s="21026"/>
      <c r="BK161" s="21027"/>
      <c r="BL161" s="21025"/>
      <c r="BM161" s="21026"/>
      <c r="BN161" s="21026"/>
      <c r="BO161" s="21026"/>
      <c r="BP161" s="21026"/>
      <c r="BQ161" s="21026"/>
      <c r="BR161" s="21027"/>
      <c r="BS161" s="21025"/>
      <c r="BT161" s="21026"/>
      <c r="BU161" s="21026"/>
      <c r="BV161" s="21026"/>
      <c r="BW161" s="21026"/>
      <c r="BX161" s="21026"/>
      <c r="BY161" s="21027"/>
      <c r="BZ161" s="21025"/>
      <c r="CA161" s="21026"/>
      <c r="CB161" s="21026"/>
      <c r="CC161" s="21026"/>
      <c r="CD161" s="21026"/>
      <c r="CE161" s="21026"/>
      <c r="CF161" s="21027"/>
      <c r="CG161" s="21025"/>
      <c r="CH161" s="21026"/>
      <c r="CI161" s="21026"/>
      <c r="CJ161" s="21026"/>
      <c r="CK161" s="21026"/>
      <c r="CL161" s="21026"/>
      <c r="CM161" s="21027"/>
      <c r="CN161" s="21025"/>
      <c r="CO161" s="21026"/>
      <c r="CP161" s="21026"/>
      <c r="CQ161" s="21026"/>
      <c r="CR161" s="21026"/>
      <c r="CS161" s="21026"/>
      <c r="CT161" s="21027"/>
      <c r="CU161" s="21027"/>
      <c r="CV161" s="21632" t="s">
        <v>618</v>
      </c>
      <c r="CW161" s="21281"/>
      <c r="CX161" s="21633"/>
      <c r="CY161" s="21633" t="str">
        <f>IF(T161="","",T161)</f>
        <v>Наименование централизованной системы холодного водоснабжения</v>
      </c>
      <c r="CZ161" s="21633"/>
      <c r="DA161" s="21633"/>
      <c r="DB161" s="21020">
        <v>0</v>
      </c>
    </row>
    <row s="55388" customFormat="1" customHeight="1" ht="23.25">
      <c r="A162" s="21621"/>
      <c r="B162" s="21621"/>
      <c r="C162" s="21621"/>
      <c r="D162" s="21621"/>
      <c r="E162" s="21622"/>
      <c r="F162" s="21622" t="s">
        <v>121</v>
      </c>
      <c r="G162" s="21622"/>
      <c r="H162" s="21622"/>
      <c r="I162" s="21638" t="str">
        <f>S161&amp;".1"</f>
        <v>1.6.1.1</v>
      </c>
      <c r="J162" s="21621"/>
      <c r="K162" s="21621"/>
      <c r="L162" s="21624"/>
      <c r="M162" s="21639"/>
      <c r="N162" s="21639"/>
      <c r="O162" s="21639"/>
      <c r="P162" s="21640">
        <v>1</v>
      </c>
      <c r="Q162" s="21640"/>
      <c r="R162" s="21641"/>
      <c r="S162" s="21629" t="str">
        <f>$I162</f>
        <v>1.6.1.1</v>
      </c>
      <c r="T162" s="21642" t="s">
        <v>619</v>
      </c>
      <c r="U162" s="21631"/>
      <c r="V162" s="21038"/>
      <c r="W162" s="21039"/>
      <c r="X162" s="21039"/>
      <c r="Y162" s="21039"/>
      <c r="Z162" s="21039"/>
      <c r="AA162" s="21039"/>
      <c r="AB162" s="21040"/>
      <c r="AC162" s="21643"/>
      <c r="AD162" s="21644"/>
      <c r="AE162" s="21644"/>
      <c r="AF162" s="21644"/>
      <c r="AG162" s="21644"/>
      <c r="AH162" s="21644"/>
      <c r="AI162" s="21644"/>
      <c r="AJ162" s="21038"/>
      <c r="AK162" s="21039"/>
      <c r="AL162" s="21039"/>
      <c r="AM162" s="21039"/>
      <c r="AN162" s="21039"/>
      <c r="AO162" s="21039"/>
      <c r="AP162" s="21040"/>
      <c r="AQ162" s="21038"/>
      <c r="AR162" s="21039"/>
      <c r="AS162" s="21039"/>
      <c r="AT162" s="21039"/>
      <c r="AU162" s="21039"/>
      <c r="AV162" s="21039"/>
      <c r="AW162" s="21040"/>
      <c r="AX162" s="21038"/>
      <c r="AY162" s="21039"/>
      <c r="AZ162" s="21039"/>
      <c r="BA162" s="21039"/>
      <c r="BB162" s="21039"/>
      <c r="BC162" s="21039"/>
      <c r="BD162" s="21040"/>
      <c r="BE162" s="21038"/>
      <c r="BF162" s="21039"/>
      <c r="BG162" s="21039"/>
      <c r="BH162" s="21039"/>
      <c r="BI162" s="21039"/>
      <c r="BJ162" s="21039"/>
      <c r="BK162" s="21040"/>
      <c r="BL162" s="21038"/>
      <c r="BM162" s="21039"/>
      <c r="BN162" s="21039"/>
      <c r="BO162" s="21039"/>
      <c r="BP162" s="21039"/>
      <c r="BQ162" s="21039"/>
      <c r="BR162" s="21040"/>
      <c r="BS162" s="21038"/>
      <c r="BT162" s="21039"/>
      <c r="BU162" s="21039"/>
      <c r="BV162" s="21039"/>
      <c r="BW162" s="21039"/>
      <c r="BX162" s="21039"/>
      <c r="BY162" s="21040"/>
      <c r="BZ162" s="21038"/>
      <c r="CA162" s="21039"/>
      <c r="CB162" s="21039"/>
      <c r="CC162" s="21039"/>
      <c r="CD162" s="21039"/>
      <c r="CE162" s="21039"/>
      <c r="CF162" s="21040"/>
      <c r="CG162" s="21038"/>
      <c r="CH162" s="21039"/>
      <c r="CI162" s="21039"/>
      <c r="CJ162" s="21039"/>
      <c r="CK162" s="21039"/>
      <c r="CL162" s="21039"/>
      <c r="CM162" s="21040"/>
      <c r="CN162" s="21038"/>
      <c r="CO162" s="21039"/>
      <c r="CP162" s="21039"/>
      <c r="CQ162" s="21039"/>
      <c r="CR162" s="21039"/>
      <c r="CS162" s="21039"/>
      <c r="CT162" s="21040"/>
      <c r="CU162" s="21645"/>
      <c r="CV162" s="21632" t="s">
        <v>620</v>
      </c>
      <c r="CW162" s="21281"/>
      <c r="CX162" s="21633"/>
      <c r="CY162" s="21633" t="str">
        <f>IF(T162="","",T162)</f>
        <v>Наименование признака дифференциации</v>
      </c>
      <c r="CZ162" s="21633"/>
      <c r="DA162" s="21633"/>
      <c r="DB162" s="21020">
        <v>0</v>
      </c>
    </row>
    <row s="55389" customFormat="1" customHeight="1" ht="23.25">
      <c r="A163" s="21621"/>
      <c r="B163" s="21621"/>
      <c r="C163" s="21621"/>
      <c r="D163" s="21621"/>
      <c r="E163" s="21622"/>
      <c r="F163" s="21622" t="s">
        <v>121</v>
      </c>
      <c r="G163" s="21622"/>
      <c r="H163" s="21622"/>
      <c r="I163" s="21647"/>
      <c r="J163" s="21638" t="str">
        <f>I162&amp;".1"</f>
        <v>1.6.1.1.1</v>
      </c>
      <c r="K163" s="21621"/>
      <c r="L163" s="21624" t="s">
        <v>545</v>
      </c>
      <c r="M163" s="21639"/>
      <c r="N163" s="21639"/>
      <c r="O163" s="21639"/>
      <c r="P163" s="21640"/>
      <c r="Q163" s="21640">
        <v>1</v>
      </c>
      <c r="R163" s="21648"/>
      <c r="S163" s="21629" t="str">
        <f>$J163</f>
        <v>1.6.1.1.1</v>
      </c>
      <c r="T163" s="21649" t="s">
        <v>546</v>
      </c>
      <c r="U163" s="21631"/>
      <c r="V163" s="21045"/>
      <c r="W163" s="21046"/>
      <c r="X163" s="21046"/>
      <c r="Y163" s="21046"/>
      <c r="Z163" s="21046"/>
      <c r="AA163" s="21046"/>
      <c r="AB163" s="21047"/>
      <c r="AC163" s="21045" t="s">
        <v>632</v>
      </c>
      <c r="AD163" s="21046"/>
      <c r="AE163" s="21046"/>
      <c r="AF163" s="21046"/>
      <c r="AG163" s="21046"/>
      <c r="AH163" s="21046"/>
      <c r="AI163" s="21046"/>
      <c r="AJ163" s="21045"/>
      <c r="AK163" s="21046"/>
      <c r="AL163" s="21046"/>
      <c r="AM163" s="21046"/>
      <c r="AN163" s="21046"/>
      <c r="AO163" s="21046"/>
      <c r="AP163" s="21047"/>
      <c r="AQ163" s="21045"/>
      <c r="AR163" s="21046"/>
      <c r="AS163" s="21046"/>
      <c r="AT163" s="21046"/>
      <c r="AU163" s="21046"/>
      <c r="AV163" s="21046"/>
      <c r="AW163" s="21047"/>
      <c r="AX163" s="21045"/>
      <c r="AY163" s="21046"/>
      <c r="AZ163" s="21046"/>
      <c r="BA163" s="21046"/>
      <c r="BB163" s="21046"/>
      <c r="BC163" s="21046"/>
      <c r="BD163" s="21047"/>
      <c r="BE163" s="21045"/>
      <c r="BF163" s="21046"/>
      <c r="BG163" s="21046"/>
      <c r="BH163" s="21046"/>
      <c r="BI163" s="21046"/>
      <c r="BJ163" s="21046"/>
      <c r="BK163" s="21047"/>
      <c r="BL163" s="21045"/>
      <c r="BM163" s="21046"/>
      <c r="BN163" s="21046"/>
      <c r="BO163" s="21046"/>
      <c r="BP163" s="21046"/>
      <c r="BQ163" s="21046"/>
      <c r="BR163" s="21047"/>
      <c r="BS163" s="21045"/>
      <c r="BT163" s="21046"/>
      <c r="BU163" s="21046"/>
      <c r="BV163" s="21046"/>
      <c r="BW163" s="21046"/>
      <c r="BX163" s="21046"/>
      <c r="BY163" s="21047"/>
      <c r="BZ163" s="21045"/>
      <c r="CA163" s="21046"/>
      <c r="CB163" s="21046"/>
      <c r="CC163" s="21046"/>
      <c r="CD163" s="21046"/>
      <c r="CE163" s="21046"/>
      <c r="CF163" s="21047"/>
      <c r="CG163" s="21045"/>
      <c r="CH163" s="21046"/>
      <c r="CI163" s="21046"/>
      <c r="CJ163" s="21046"/>
      <c r="CK163" s="21046"/>
      <c r="CL163" s="21046"/>
      <c r="CM163" s="21047"/>
      <c r="CN163" s="21045"/>
      <c r="CO163" s="21046"/>
      <c r="CP163" s="21046"/>
      <c r="CQ163" s="21046"/>
      <c r="CR163" s="21046"/>
      <c r="CS163" s="21046"/>
      <c r="CT163" s="21047"/>
      <c r="CU163" s="21047"/>
      <c r="CV163" s="21650" t="s">
        <v>621</v>
      </c>
      <c r="CW163" s="21281"/>
      <c r="CX163" s="21633"/>
      <c r="CY163" s="21633" t="str">
        <f>IF(T163="","",T163)</f>
        <v>Группа потребителей</v>
      </c>
      <c r="CZ163" s="21633"/>
      <c r="DA163" s="21633"/>
      <c r="DB163" s="21020">
        <v>0</v>
      </c>
    </row>
    <row s="55390" customFormat="1" customHeight="1" ht="23.25">
      <c r="A164" s="21621"/>
      <c r="B164" s="21621"/>
      <c r="C164" s="21621"/>
      <c r="D164" s="21621"/>
      <c r="E164" s="21622"/>
      <c r="F164" s="21622" t="s">
        <v>121</v>
      </c>
      <c r="G164" s="21622"/>
      <c r="H164" s="21622"/>
      <c r="I164" s="21647"/>
      <c r="J164" s="21647"/>
      <c r="K164" s="21638" t="str">
        <f>J163&amp;".1"</f>
        <v>1.6.1.1.1.1</v>
      </c>
      <c r="L164" s="21624"/>
      <c r="M164" s="21639"/>
      <c r="N164" s="21639"/>
      <c r="O164" s="21639"/>
      <c r="P164" s="21640"/>
      <c r="Q164" s="21640"/>
      <c r="R164" s="21648">
        <v>1</v>
      </c>
      <c r="S164" s="21629" t="str">
        <f>$K164</f>
        <v>1.6.1.1.1.1</v>
      </c>
      <c r="T164" s="21652"/>
      <c r="U164" s="21631"/>
      <c r="V164" s="21053"/>
      <c r="W164" s="21053"/>
      <c r="X164" s="21054"/>
      <c r="Y164" s="21055"/>
      <c r="Z164" s="21056" t="s">
        <v>63</v>
      </c>
      <c r="AA164" s="21055"/>
      <c r="AB164" s="21056" t="s">
        <v>63</v>
      </c>
      <c r="AC164" s="21053">
        <v>34.87</v>
      </c>
      <c r="AD164" s="21053"/>
      <c r="AE164" s="21054"/>
      <c r="AF164" s="33020">
        <v>45292.72677083333</v>
      </c>
      <c r="AG164" s="21056" t="s">
        <v>63</v>
      </c>
      <c r="AH164" s="33021">
        <v>45473.727013888885</v>
      </c>
      <c r="AI164" s="21056" t="s">
        <v>63</v>
      </c>
      <c r="AJ164" s="21053">
        <v>45.34</v>
      </c>
      <c r="AK164" s="21053"/>
      <c r="AL164" s="21054"/>
      <c r="AM164" s="33020">
        <v>45474.72857638889</v>
      </c>
      <c r="AN164" s="21056" t="s">
        <v>63</v>
      </c>
      <c r="AO164" s="33020">
        <v>45657.72875</v>
      </c>
      <c r="AP164" s="21056" t="s">
        <v>63</v>
      </c>
      <c r="AQ164" s="21053">
        <v>45.34</v>
      </c>
      <c r="AR164" s="21053"/>
      <c r="AS164" s="21054"/>
      <c r="AT164" s="33020">
        <v>45658.72928240741</v>
      </c>
      <c r="AU164" s="21056" t="s">
        <v>63</v>
      </c>
      <c r="AV164" s="33020">
        <v>45838.729537037034</v>
      </c>
      <c r="AW164" s="21056" t="s">
        <v>63</v>
      </c>
      <c r="AX164" s="21053">
        <v>54.41</v>
      </c>
      <c r="AY164" s="21053"/>
      <c r="AZ164" s="21054"/>
      <c r="BA164" s="33020">
        <v>45839.73106481481</v>
      </c>
      <c r="BB164" s="21056" t="s">
        <v>63</v>
      </c>
      <c r="BC164" s="33020">
        <v>46022.731307870374</v>
      </c>
      <c r="BD164" s="21056" t="s">
        <v>63</v>
      </c>
      <c r="BE164" s="21053">
        <v>54.41</v>
      </c>
      <c r="BF164" s="21053"/>
      <c r="BG164" s="21054"/>
      <c r="BH164" s="33020">
        <v>46023.73189814815</v>
      </c>
      <c r="BI164" s="21056" t="s">
        <v>63</v>
      </c>
      <c r="BJ164" s="33020">
        <v>46203.73212962963</v>
      </c>
      <c r="BK164" s="21056" t="s">
        <v>63</v>
      </c>
      <c r="BL164" s="21053">
        <v>55.76</v>
      </c>
      <c r="BM164" s="21053"/>
      <c r="BN164" s="21054"/>
      <c r="BO164" s="33020">
        <v>46204.73275462963</v>
      </c>
      <c r="BP164" s="21056" t="s">
        <v>63</v>
      </c>
      <c r="BQ164" s="33020">
        <v>46387.733078703706</v>
      </c>
      <c r="BR164" s="21056" t="s">
        <v>63</v>
      </c>
      <c r="BS164" s="21053">
        <v>55.76</v>
      </c>
      <c r="BT164" s="21053"/>
      <c r="BU164" s="21054"/>
      <c r="BV164" s="33020">
        <v>46388.73355324074</v>
      </c>
      <c r="BW164" s="21056" t="s">
        <v>63</v>
      </c>
      <c r="BX164" s="33020">
        <v>46568.7337962963</v>
      </c>
      <c r="BY164" s="21056" t="s">
        <v>63</v>
      </c>
      <c r="BZ164" s="21053">
        <v>56.88</v>
      </c>
      <c r="CA164" s="21053"/>
      <c r="CB164" s="21054"/>
      <c r="CC164" s="33020">
        <v>46569.73458333333</v>
      </c>
      <c r="CD164" s="21056" t="s">
        <v>63</v>
      </c>
      <c r="CE164" s="33020">
        <v>46752.73496527778</v>
      </c>
      <c r="CF164" s="21056" t="s">
        <v>63</v>
      </c>
      <c r="CG164" s="21053">
        <v>56.88</v>
      </c>
      <c r="CH164" s="21053"/>
      <c r="CI164" s="21054"/>
      <c r="CJ164" s="33020">
        <v>46753.73564814815</v>
      </c>
      <c r="CK164" s="21056" t="s">
        <v>63</v>
      </c>
      <c r="CL164" s="33020">
        <v>46934.735925925925</v>
      </c>
      <c r="CM164" s="21056" t="s">
        <v>63</v>
      </c>
      <c r="CN164" s="21053">
        <v>59.03</v>
      </c>
      <c r="CO164" s="21053"/>
      <c r="CP164" s="21054"/>
      <c r="CQ164" s="33020">
        <v>46935.73642361111</v>
      </c>
      <c r="CR164" s="21056" t="s">
        <v>63</v>
      </c>
      <c r="CS164" s="33020">
        <v>47118.736712962964</v>
      </c>
      <c r="CT164" s="21056" t="s">
        <v>63</v>
      </c>
      <c r="CU164" s="21653"/>
      <c r="CV16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4" s="21281">
        <f>STRCHECKDATE(V165:CU165)</f>
      </c>
      <c r="CX164" s="21633"/>
      <c r="CY164" s="21633" t="str">
        <f>IF(T164="","",T164)</f>
        <v/>
      </c>
      <c r="CZ164" s="21633"/>
      <c r="DA164" s="21633"/>
      <c r="DB164" s="21020">
        <v>0</v>
      </c>
    </row>
    <row s="55391" customFormat="1" customHeight="1" ht="14.25">
      <c r="A165" s="21621"/>
      <c r="B165" s="21621"/>
      <c r="C165" s="21621"/>
      <c r="D165" s="21621"/>
      <c r="E165" s="21622"/>
      <c r="F165" s="21622" t="s">
        <v>121</v>
      </c>
      <c r="G165" s="21622"/>
      <c r="H165" s="21622"/>
      <c r="I165" s="21647"/>
      <c r="J165" s="21647"/>
      <c r="K165" s="21638"/>
      <c r="L165" s="21624"/>
      <c r="M165" s="21639"/>
      <c r="N165" s="21639"/>
      <c r="O165" s="21639"/>
      <c r="P165" s="21640"/>
      <c r="Q165" s="21640"/>
      <c r="R165" s="21648"/>
      <c r="S165" s="21656"/>
      <c r="T165" s="21631"/>
      <c r="U165" s="21631"/>
      <c r="V165" s="21063"/>
      <c r="W165" s="21063"/>
      <c r="X165" s="21064" t="str">
        <f>Y164&amp;"-"&amp;AA164</f>
        <v>-</v>
      </c>
      <c r="Y165" s="21065"/>
      <c r="Z165" s="21056"/>
      <c r="AA165" s="21065"/>
      <c r="AB165" s="21056"/>
      <c r="AC165" s="21063"/>
      <c r="AD165" s="21063"/>
      <c r="AE165" s="21064" t="str">
        <f>AF164&amp;"-"&amp;AH164</f>
        <v>45292.72677083333-45473.727013888885</v>
      </c>
      <c r="AF165" s="21065"/>
      <c r="AG165" s="21056"/>
      <c r="AH165" s="21324"/>
      <c r="AI165" s="21056"/>
      <c r="AJ165" s="21063"/>
      <c r="AK165" s="21063"/>
      <c r="AL165" s="21064" t="str">
        <f>AM164&amp;"-"&amp;AO164</f>
        <v>45474.72857638889-45657.72875</v>
      </c>
      <c r="AM165" s="21065"/>
      <c r="AN165" s="21056"/>
      <c r="AO165" s="21065"/>
      <c r="AP165" s="21056"/>
      <c r="AQ165" s="21063"/>
      <c r="AR165" s="21063"/>
      <c r="AS165" s="21064" t="str">
        <f>AT164&amp;"-"&amp;AV164</f>
        <v>45658.72928240741-45838.729537037034</v>
      </c>
      <c r="AT165" s="21065"/>
      <c r="AU165" s="21056"/>
      <c r="AV165" s="21065"/>
      <c r="AW165" s="21056"/>
      <c r="AX165" s="21063"/>
      <c r="AY165" s="21063"/>
      <c r="AZ165" s="21064" t="str">
        <f>BA164&amp;"-"&amp;BC164</f>
        <v>45839.73106481481-46022.731307870374</v>
      </c>
      <c r="BA165" s="21065"/>
      <c r="BB165" s="21056"/>
      <c r="BC165" s="21065"/>
      <c r="BD165" s="21056"/>
      <c r="BE165" s="21063"/>
      <c r="BF165" s="21063"/>
      <c r="BG165" s="21064" t="str">
        <f>BH164&amp;"-"&amp;BJ164</f>
        <v>46023.73189814815-46203.73212962963</v>
      </c>
      <c r="BH165" s="21065"/>
      <c r="BI165" s="21056"/>
      <c r="BJ165" s="21065"/>
      <c r="BK165" s="21056"/>
      <c r="BL165" s="21063"/>
      <c r="BM165" s="21063"/>
      <c r="BN165" s="21064" t="str">
        <f>BO164&amp;"-"&amp;BQ164</f>
        <v>46204.73275462963-46387.733078703706</v>
      </c>
      <c r="BO165" s="21065"/>
      <c r="BP165" s="21056"/>
      <c r="BQ165" s="21065"/>
      <c r="BR165" s="21056"/>
      <c r="BS165" s="21063"/>
      <c r="BT165" s="21063"/>
      <c r="BU165" s="21064" t="str">
        <f>BV164&amp;"-"&amp;BX164</f>
        <v>46388.73355324074-46568.7337962963</v>
      </c>
      <c r="BV165" s="21065"/>
      <c r="BW165" s="21056"/>
      <c r="BX165" s="21065"/>
      <c r="BY165" s="21056"/>
      <c r="BZ165" s="21063"/>
      <c r="CA165" s="21063"/>
      <c r="CB165" s="21064" t="str">
        <f>CC164&amp;"-"&amp;CE164</f>
        <v>46569.73458333333-46752.73496527778</v>
      </c>
      <c r="CC165" s="21065"/>
      <c r="CD165" s="21056"/>
      <c r="CE165" s="21065"/>
      <c r="CF165" s="21056"/>
      <c r="CG165" s="21063"/>
      <c r="CH165" s="21063"/>
      <c r="CI165" s="21064" t="str">
        <f>CJ164&amp;"-"&amp;CL164</f>
        <v>46753.73564814815-46934.735925925925</v>
      </c>
      <c r="CJ165" s="21065"/>
      <c r="CK165" s="21056"/>
      <c r="CL165" s="21065"/>
      <c r="CM165" s="21056"/>
      <c r="CN165" s="21063"/>
      <c r="CO165" s="21063"/>
      <c r="CP165" s="21064" t="str">
        <f>CQ164&amp;"-"&amp;CS164</f>
        <v>46935.73642361111-47118.736712962964</v>
      </c>
      <c r="CQ165" s="21065"/>
      <c r="CR165" s="21056"/>
      <c r="CS165" s="21065"/>
      <c r="CT165" s="21056"/>
      <c r="CU165" s="21657"/>
      <c r="CV165" s="21654"/>
      <c r="CW165" s="21281"/>
      <c r="CX165" s="21633"/>
      <c r="CY165" s="21633" t="str">
        <f>IF(T165="","",T165)</f>
        <v/>
      </c>
      <c r="CZ165" s="21633"/>
      <c r="DA165" s="21633"/>
      <c r="DB165" s="21020">
        <v>0</v>
      </c>
    </row>
    <row s="55392" customFormat="1" customHeight="1" ht="21">
      <c r="A166" s="21621"/>
      <c r="B166" s="21621"/>
      <c r="C166" s="21621"/>
      <c r="D166" s="21621"/>
      <c r="E166" s="21622"/>
      <c r="F166" s="21622" t="s">
        <v>121</v>
      </c>
      <c r="G166" s="21622"/>
      <c r="H166" s="21622"/>
      <c r="I166" s="21647"/>
      <c r="J166" s="21638"/>
      <c r="K166" s="21621"/>
      <c r="L166" s="21624"/>
      <c r="M166" s="21639"/>
      <c r="N166" s="21639"/>
      <c r="O166" s="21639"/>
      <c r="P166" s="21640"/>
      <c r="Q166" s="21640"/>
      <c r="R166" s="21641"/>
      <c r="S166" s="24212"/>
      <c r="T166" s="24213" t="s">
        <v>622</v>
      </c>
      <c r="U166" s="24214"/>
      <c r="V166" s="24215"/>
      <c r="W166" s="24216"/>
      <c r="X166" s="24217"/>
      <c r="Y166" s="24218"/>
      <c r="Z166" s="24219"/>
      <c r="AA166" s="24220"/>
      <c r="AB166" s="24221"/>
      <c r="AC166" s="24222"/>
      <c r="AD166" s="24223"/>
      <c r="AE166" s="24224"/>
      <c r="AF166" s="24225"/>
      <c r="AG166" s="24226"/>
      <c r="AH166" s="24227"/>
      <c r="AI166" s="24228"/>
      <c r="AJ166" s="24229"/>
      <c r="AK166" s="24230"/>
      <c r="AL166" s="24231"/>
      <c r="AM166" s="24232"/>
      <c r="AN166" s="24233"/>
      <c r="AO166" s="24234"/>
      <c r="AP166" s="24235"/>
      <c r="AQ166" s="24236"/>
      <c r="AR166" s="24237"/>
      <c r="AS166" s="24238"/>
      <c r="AT166" s="24239"/>
      <c r="AU166" s="24240"/>
      <c r="AV166" s="24241"/>
      <c r="AW166" s="24242"/>
      <c r="AX166" s="24243"/>
      <c r="AY166" s="24244"/>
      <c r="AZ166" s="24245"/>
      <c r="BA166" s="24246"/>
      <c r="BB166" s="24247"/>
      <c r="BC166" s="24248"/>
      <c r="BD166" s="24249"/>
      <c r="BE166" s="24250"/>
      <c r="BF166" s="24251"/>
      <c r="BG166" s="24252"/>
      <c r="BH166" s="24253"/>
      <c r="BI166" s="24254"/>
      <c r="BJ166" s="24255"/>
      <c r="BK166" s="24256"/>
      <c r="BL166" s="24257"/>
      <c r="BM166" s="24258"/>
      <c r="BN166" s="24259"/>
      <c r="BO166" s="24260"/>
      <c r="BP166" s="24261"/>
      <c r="BQ166" s="24262"/>
      <c r="BR166" s="24263"/>
      <c r="BS166" s="24264"/>
      <c r="BT166" s="24265"/>
      <c r="BU166" s="24266"/>
      <c r="BV166" s="24267"/>
      <c r="BW166" s="24268"/>
      <c r="BX166" s="24269"/>
      <c r="BY166" s="24270"/>
      <c r="BZ166" s="24271"/>
      <c r="CA166" s="24272"/>
      <c r="CB166" s="24273"/>
      <c r="CC166" s="24274"/>
      <c r="CD166" s="24275"/>
      <c r="CE166" s="24276"/>
      <c r="CF166" s="24277"/>
      <c r="CG166" s="24278"/>
      <c r="CH166" s="24279"/>
      <c r="CI166" s="24280"/>
      <c r="CJ166" s="24281"/>
      <c r="CK166" s="24282"/>
      <c r="CL166" s="24283"/>
      <c r="CM166" s="24284"/>
      <c r="CN166" s="24285"/>
      <c r="CO166" s="24286"/>
      <c r="CP166" s="24287"/>
      <c r="CQ166" s="24288"/>
      <c r="CR166" s="24289"/>
      <c r="CS166" s="24290"/>
      <c r="CT166" s="24291"/>
      <c r="CU166" s="24292"/>
      <c r="CV166" s="21632" t="s">
        <v>623</v>
      </c>
      <c r="CW166" s="21281"/>
      <c r="CX166" s="21633"/>
      <c r="CY166" s="21633" t="str">
        <f>IF(T166="","",T166)</f>
        <v>Добавить значение признака дифференциации</v>
      </c>
      <c r="CZ166" s="21633"/>
      <c r="DA166" s="21633"/>
      <c r="DB166" s="21020">
        <v>0</v>
      </c>
    </row>
    <row s="55474" customFormat="1" customHeight="1" ht="23.25">
      <c r="A167" s="33106"/>
      <c r="B167" s="33106"/>
      <c r="C167" s="33106"/>
      <c r="D167" s="33106"/>
      <c r="E167" s="33107"/>
      <c r="F167" s="33107"/>
      <c r="G167" s="33107"/>
      <c r="H167" s="33107"/>
      <c r="I167" s="33108"/>
      <c r="J167" s="33109" t="str">
        <f>I162&amp;".2"</f>
        <v>1.6.1.1.2</v>
      </c>
      <c r="K167" s="33106"/>
      <c r="L167" s="33110" t="s">
        <v>545</v>
      </c>
      <c r="M167" s="33111"/>
      <c r="N167" s="33111"/>
      <c r="O167" s="33111"/>
      <c r="P167" s="33112"/>
      <c r="Q167" s="33113" t="s">
        <v>106</v>
      </c>
      <c r="R167" s="33114"/>
      <c r="S167" s="33115" t="str">
        <f>$J167</f>
        <v>1.6.1.1.2</v>
      </c>
      <c r="T167" s="33116" t="s">
        <v>546</v>
      </c>
      <c r="U167" s="33117"/>
      <c r="V167" s="33118"/>
      <c r="W167" s="33119"/>
      <c r="X167" s="33119"/>
      <c r="Y167" s="33119"/>
      <c r="Z167" s="33119"/>
      <c r="AA167" s="33119"/>
      <c r="AB167" s="33120"/>
      <c r="AC167" s="33118" t="s">
        <v>633</v>
      </c>
      <c r="AD167" s="33119"/>
      <c r="AE167" s="33119"/>
      <c r="AF167" s="33119"/>
      <c r="AG167" s="33119"/>
      <c r="AH167" s="33119"/>
      <c r="AI167" s="33119"/>
      <c r="AJ167" s="33118"/>
      <c r="AK167" s="33119"/>
      <c r="AL167" s="33119"/>
      <c r="AM167" s="33119"/>
      <c r="AN167" s="33119"/>
      <c r="AO167" s="33119"/>
      <c r="AP167" s="33120"/>
      <c r="AQ167" s="33118"/>
      <c r="AR167" s="33119"/>
      <c r="AS167" s="33119"/>
      <c r="AT167" s="33119"/>
      <c r="AU167" s="33119"/>
      <c r="AV167" s="33119"/>
      <c r="AW167" s="33120"/>
      <c r="AX167" s="33118"/>
      <c r="AY167" s="33119"/>
      <c r="AZ167" s="33119"/>
      <c r="BA167" s="33119"/>
      <c r="BB167" s="33119"/>
      <c r="BC167" s="33119"/>
      <c r="BD167" s="33120"/>
      <c r="BE167" s="33118"/>
      <c r="BF167" s="33119"/>
      <c r="BG167" s="33119"/>
      <c r="BH167" s="33119"/>
      <c r="BI167" s="33119"/>
      <c r="BJ167" s="33119"/>
      <c r="BK167" s="33120"/>
      <c r="BL167" s="33118"/>
      <c r="BM167" s="33119"/>
      <c r="BN167" s="33119"/>
      <c r="BO167" s="33119"/>
      <c r="BP167" s="33119"/>
      <c r="BQ167" s="33119"/>
      <c r="BR167" s="33120"/>
      <c r="BS167" s="33118"/>
      <c r="BT167" s="33119"/>
      <c r="BU167" s="33119"/>
      <c r="BV167" s="33119"/>
      <c r="BW167" s="33119"/>
      <c r="BX167" s="33119"/>
      <c r="BY167" s="33120"/>
      <c r="BZ167" s="33118"/>
      <c r="CA167" s="33119"/>
      <c r="CB167" s="33119"/>
      <c r="CC167" s="33119"/>
      <c r="CD167" s="33119"/>
      <c r="CE167" s="33119"/>
      <c r="CF167" s="33120"/>
      <c r="CG167" s="33118"/>
      <c r="CH167" s="33119"/>
      <c r="CI167" s="33119"/>
      <c r="CJ167" s="33119"/>
      <c r="CK167" s="33119"/>
      <c r="CL167" s="33119"/>
      <c r="CM167" s="33120"/>
      <c r="CN167" s="33118"/>
      <c r="CO167" s="33119"/>
      <c r="CP167" s="33119"/>
      <c r="CQ167" s="33119"/>
      <c r="CR167" s="33119"/>
      <c r="CS167" s="33119"/>
      <c r="CT167" s="33121"/>
      <c r="CU167" s="33120"/>
      <c r="CV167" s="33122" t="s">
        <v>621</v>
      </c>
      <c r="CW167" s="33123"/>
      <c r="CX167" s="33124"/>
      <c r="CY167" s="33124" t="str">
        <f>IF(T167="","",T167)</f>
        <v>Группа потребителей</v>
      </c>
      <c r="CZ167" s="33124"/>
      <c r="DA167" s="33124"/>
      <c r="DB167" s="33125">
        <v>0</v>
      </c>
    </row>
    <row s="55475" customFormat="1" customHeight="1" ht="23.25">
      <c r="A168" s="33106"/>
      <c r="B168" s="33106"/>
      <c r="C168" s="33106"/>
      <c r="D168" s="33106"/>
      <c r="E168" s="33107"/>
      <c r="F168" s="33107"/>
      <c r="G168" s="33107"/>
      <c r="H168" s="33107"/>
      <c r="I168" s="33108"/>
      <c r="J168" s="33108" t="str">
        <f>I162&amp;".1"</f>
        <v>1.6.1.1.1</v>
      </c>
      <c r="K168" s="33109" t="str">
        <f>J167&amp;".1"</f>
        <v>1.6.1.1.2.1</v>
      </c>
      <c r="L168" s="33110"/>
      <c r="M168" s="33111"/>
      <c r="N168" s="33111"/>
      <c r="O168" s="33111"/>
      <c r="P168" s="33112"/>
      <c r="Q168" s="33112"/>
      <c r="R168" s="33114">
        <v>1</v>
      </c>
      <c r="S168" s="33115" t="str">
        <f>$K168</f>
        <v>1.6.1.1.2.1</v>
      </c>
      <c r="T168" s="33127"/>
      <c r="U168" s="33117"/>
      <c r="V168" s="33128"/>
      <c r="W168" s="33128"/>
      <c r="X168" s="33129"/>
      <c r="Y168" s="33020"/>
      <c r="Z168" s="33130" t="s">
        <v>63</v>
      </c>
      <c r="AA168" s="33020"/>
      <c r="AB168" s="33130" t="s">
        <v>63</v>
      </c>
      <c r="AC168" s="33128">
        <v>29.06</v>
      </c>
      <c r="AD168" s="33128"/>
      <c r="AE168" s="33129"/>
      <c r="AF168" s="33020">
        <v>45292.72692129629</v>
      </c>
      <c r="AG168" s="33130" t="s">
        <v>63</v>
      </c>
      <c r="AH168" s="33021">
        <v>45473.7271875</v>
      </c>
      <c r="AI168" s="33130" t="s">
        <v>63</v>
      </c>
      <c r="AJ168" s="33128">
        <v>37.78</v>
      </c>
      <c r="AK168" s="33128"/>
      <c r="AL168" s="33129"/>
      <c r="AM168" s="33020">
        <v>45474.72866898148</v>
      </c>
      <c r="AN168" s="33130" t="s">
        <v>63</v>
      </c>
      <c r="AO168" s="33020">
        <v>45657.72891203704</v>
      </c>
      <c r="AP168" s="33130" t="s">
        <v>63</v>
      </c>
      <c r="AQ168" s="33128">
        <v>37.78</v>
      </c>
      <c r="AR168" s="33128"/>
      <c r="AS168" s="33129"/>
      <c r="AT168" s="33020">
        <v>45658.729409722226</v>
      </c>
      <c r="AU168" s="33130" t="s">
        <v>63</v>
      </c>
      <c r="AV168" s="33020">
        <v>45838.7296875</v>
      </c>
      <c r="AW168" s="33130" t="s">
        <v>63</v>
      </c>
      <c r="AX168" s="33128">
        <v>45.34</v>
      </c>
      <c r="AY168" s="33128"/>
      <c r="AZ168" s="33129"/>
      <c r="BA168" s="33020">
        <v>45839.73121527778</v>
      </c>
      <c r="BB168" s="33130" t="s">
        <v>63</v>
      </c>
      <c r="BC168" s="33020">
        <v>46022.73138888889</v>
      </c>
      <c r="BD168" s="33130" t="s">
        <v>63</v>
      </c>
      <c r="BE168" s="33128">
        <v>45.34</v>
      </c>
      <c r="BF168" s="33128"/>
      <c r="BG168" s="33129"/>
      <c r="BH168" s="33020">
        <v>46023.73202546296</v>
      </c>
      <c r="BI168" s="33130" t="s">
        <v>63</v>
      </c>
      <c r="BJ168" s="33020">
        <v>45473.73231481481</v>
      </c>
      <c r="BK168" s="33130" t="s">
        <v>63</v>
      </c>
      <c r="BL168" s="33128">
        <v>46.47</v>
      </c>
      <c r="BM168" s="33128"/>
      <c r="BN168" s="33129"/>
      <c r="BO168" s="33020">
        <v>46204.73289351852</v>
      </c>
      <c r="BP168" s="33130" t="s">
        <v>63</v>
      </c>
      <c r="BQ168" s="33020">
        <v>46387.73315972222</v>
      </c>
      <c r="BR168" s="33130" t="s">
        <v>63</v>
      </c>
      <c r="BS168" s="33128">
        <v>46.47</v>
      </c>
      <c r="BT168" s="33128"/>
      <c r="BU168" s="33129"/>
      <c r="BV168" s="33020">
        <v>46388.733668981484</v>
      </c>
      <c r="BW168" s="33130" t="s">
        <v>63</v>
      </c>
      <c r="BX168" s="33020">
        <v>46568.733877314815</v>
      </c>
      <c r="BY168" s="33130" t="s">
        <v>63</v>
      </c>
      <c r="BZ168" s="33128">
        <v>47.4</v>
      </c>
      <c r="CA168" s="33128"/>
      <c r="CB168" s="33129"/>
      <c r="CC168" s="33020">
        <v>46569.73471064815</v>
      </c>
      <c r="CD168" s="33130" t="s">
        <v>63</v>
      </c>
      <c r="CE168" s="33020">
        <v>46752.735034722224</v>
      </c>
      <c r="CF168" s="33130" t="s">
        <v>63</v>
      </c>
      <c r="CG168" s="33128">
        <v>47.4</v>
      </c>
      <c r="CH168" s="33128"/>
      <c r="CI168" s="33129"/>
      <c r="CJ168" s="33020">
        <v>46753.73578703704</v>
      </c>
      <c r="CK168" s="33130" t="s">
        <v>63</v>
      </c>
      <c r="CL168" s="33020">
        <v>46934.73605324074</v>
      </c>
      <c r="CM168" s="33130" t="s">
        <v>63</v>
      </c>
      <c r="CN168" s="33128">
        <v>49.19</v>
      </c>
      <c r="CO168" s="33128"/>
      <c r="CP168" s="33129"/>
      <c r="CQ168" s="33020">
        <v>46935.7365625</v>
      </c>
      <c r="CR168" s="33130" t="s">
        <v>63</v>
      </c>
      <c r="CS168" s="33020">
        <v>47118.73678240741</v>
      </c>
      <c r="CT168" s="33131" t="s">
        <v>63</v>
      </c>
      <c r="CU168" s="33132"/>
      <c r="CV168"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8" s="33123">
        <f>STRCHECKDATE(V169:CU169)</f>
      </c>
      <c r="CX168" s="33124"/>
      <c r="CY168" s="33124" t="str">
        <f>IF(T168="","",T168)</f>
        <v/>
      </c>
      <c r="CZ168" s="33124"/>
      <c r="DA168" s="33124"/>
      <c r="DB168" s="33125">
        <v>0</v>
      </c>
    </row>
    <row s="55476" customFormat="1" customHeight="1" ht="14.25">
      <c r="A169" s="33106"/>
      <c r="B169" s="33106"/>
      <c r="C169" s="33106"/>
      <c r="D169" s="33106"/>
      <c r="E169" s="33107"/>
      <c r="F169" s="33107"/>
      <c r="G169" s="33107"/>
      <c r="H169" s="33107"/>
      <c r="I169" s="33108"/>
      <c r="J169" s="33108" t="str">
        <f>I162&amp;".1"</f>
        <v>1.6.1.1.1</v>
      </c>
      <c r="K169" s="33109"/>
      <c r="L169" s="33110"/>
      <c r="M169" s="33111"/>
      <c r="N169" s="33111"/>
      <c r="O169" s="33111"/>
      <c r="P169" s="33112"/>
      <c r="Q169" s="33112"/>
      <c r="R169" s="33114"/>
      <c r="S169" s="33135"/>
      <c r="T169" s="33117"/>
      <c r="U169" s="33117"/>
      <c r="V169" s="33136"/>
      <c r="W169" s="33136"/>
      <c r="X169" s="33137" t="str">
        <f>Y168&amp;"-"&amp;AA168</f>
        <v>-</v>
      </c>
      <c r="Y169" s="33138"/>
      <c r="Z169" s="33130"/>
      <c r="AA169" s="33138"/>
      <c r="AB169" s="33130"/>
      <c r="AC169" s="33136"/>
      <c r="AD169" s="33136"/>
      <c r="AE169" s="33137" t="str">
        <f>AF168&amp;"-"&amp;AH168</f>
        <v>45292.72692129629-45473.7271875</v>
      </c>
      <c r="AF169" s="33138"/>
      <c r="AG169" s="33130"/>
      <c r="AH169" s="33139"/>
      <c r="AI169" s="33130"/>
      <c r="AJ169" s="33136"/>
      <c r="AK169" s="33136"/>
      <c r="AL169" s="33137" t="str">
        <f>AM168&amp;"-"&amp;AO168</f>
        <v>45474.72866898148-45657.72891203704</v>
      </c>
      <c r="AM169" s="33138"/>
      <c r="AN169" s="33130"/>
      <c r="AO169" s="33138"/>
      <c r="AP169" s="33130"/>
      <c r="AQ169" s="33136"/>
      <c r="AR169" s="33136"/>
      <c r="AS169" s="33137" t="str">
        <f>AT168&amp;"-"&amp;AV168</f>
        <v>45658.729409722226-45838.7296875</v>
      </c>
      <c r="AT169" s="33138"/>
      <c r="AU169" s="33130"/>
      <c r="AV169" s="33138"/>
      <c r="AW169" s="33130"/>
      <c r="AX169" s="33136"/>
      <c r="AY169" s="33136"/>
      <c r="AZ169" s="33137" t="str">
        <f>BA168&amp;"-"&amp;BC168</f>
        <v>45839.73121527778-46022.73138888889</v>
      </c>
      <c r="BA169" s="33138"/>
      <c r="BB169" s="33130"/>
      <c r="BC169" s="33138"/>
      <c r="BD169" s="33130"/>
      <c r="BE169" s="33136"/>
      <c r="BF169" s="33136"/>
      <c r="BG169" s="33137" t="str">
        <f>BH168&amp;"-"&amp;BJ168</f>
        <v>46023.73202546296-45473.73231481481</v>
      </c>
      <c r="BH169" s="33138"/>
      <c r="BI169" s="33130"/>
      <c r="BJ169" s="33138"/>
      <c r="BK169" s="33130"/>
      <c r="BL169" s="33136"/>
      <c r="BM169" s="33136"/>
      <c r="BN169" s="33137" t="str">
        <f>BO168&amp;"-"&amp;BQ168</f>
        <v>46204.73289351852-46387.73315972222</v>
      </c>
      <c r="BO169" s="33138"/>
      <c r="BP169" s="33130"/>
      <c r="BQ169" s="33138"/>
      <c r="BR169" s="33130"/>
      <c r="BS169" s="33136"/>
      <c r="BT169" s="33136"/>
      <c r="BU169" s="33137" t="str">
        <f>BV168&amp;"-"&amp;BX168</f>
        <v>46388.733668981484-46568.733877314815</v>
      </c>
      <c r="BV169" s="33138"/>
      <c r="BW169" s="33130"/>
      <c r="BX169" s="33138"/>
      <c r="BY169" s="33130"/>
      <c r="BZ169" s="33136"/>
      <c r="CA169" s="33136"/>
      <c r="CB169" s="33137" t="str">
        <f>CC168&amp;"-"&amp;CE168</f>
        <v>46569.73471064815-46752.735034722224</v>
      </c>
      <c r="CC169" s="33138"/>
      <c r="CD169" s="33130"/>
      <c r="CE169" s="33138"/>
      <c r="CF169" s="33130"/>
      <c r="CG169" s="33136"/>
      <c r="CH169" s="33136"/>
      <c r="CI169" s="33137" t="str">
        <f>CJ168&amp;"-"&amp;CL168</f>
        <v>46753.73578703704-46934.73605324074</v>
      </c>
      <c r="CJ169" s="33138"/>
      <c r="CK169" s="33130"/>
      <c r="CL169" s="33138"/>
      <c r="CM169" s="33130"/>
      <c r="CN169" s="33136"/>
      <c r="CO169" s="33136"/>
      <c r="CP169" s="33137" t="str">
        <f>CQ168&amp;"-"&amp;CS168</f>
        <v>46935.7365625-47118.73678240741</v>
      </c>
      <c r="CQ169" s="33138"/>
      <c r="CR169" s="33130"/>
      <c r="CS169" s="33138"/>
      <c r="CT169" s="33131"/>
      <c r="CU169" s="33140"/>
      <c r="CV169" s="33133"/>
      <c r="CW169" s="33123"/>
      <c r="CX169" s="33124"/>
      <c r="CY169" s="33124" t="str">
        <f>IF(T169="","",T169)</f>
        <v/>
      </c>
      <c r="CZ169" s="33124"/>
      <c r="DA169" s="33124"/>
      <c r="DB169" s="33125">
        <v>0</v>
      </c>
    </row>
    <row s="55477" customFormat="1" customHeight="1" ht="21">
      <c r="A170" s="33106"/>
      <c r="B170" s="33106"/>
      <c r="C170" s="33106"/>
      <c r="D170" s="33106"/>
      <c r="E170" s="33107"/>
      <c r="F170" s="33107"/>
      <c r="G170" s="33107"/>
      <c r="H170" s="33107"/>
      <c r="I170" s="33108"/>
      <c r="J170" s="33109" t="str">
        <f>I162&amp;".1"</f>
        <v>1.6.1.1.1</v>
      </c>
      <c r="K170" s="33106"/>
      <c r="L170" s="33110"/>
      <c r="M170" s="33111"/>
      <c r="N170" s="33111"/>
      <c r="O170" s="33111"/>
      <c r="P170" s="33112"/>
      <c r="Q170" s="33112"/>
      <c r="R170" s="33142"/>
      <c r="S170" s="33822"/>
      <c r="T170" s="33823" t="s">
        <v>622</v>
      </c>
      <c r="U170" s="33824"/>
      <c r="V170" s="33825"/>
      <c r="W170" s="33826"/>
      <c r="X170" s="33827"/>
      <c r="Y170" s="33828"/>
      <c r="Z170" s="33829"/>
      <c r="AA170" s="33830"/>
      <c r="AB170" s="33831"/>
      <c r="AC170" s="33832"/>
      <c r="AD170" s="33833"/>
      <c r="AE170" s="33834"/>
      <c r="AF170" s="33835"/>
      <c r="AG170" s="33836"/>
      <c r="AH170" s="33837"/>
      <c r="AI170" s="33838"/>
      <c r="AJ170" s="33839"/>
      <c r="AK170" s="33840"/>
      <c r="AL170" s="33841"/>
      <c r="AM170" s="33842"/>
      <c r="AN170" s="33843"/>
      <c r="AO170" s="33844"/>
      <c r="AP170" s="33845"/>
      <c r="AQ170" s="33846"/>
      <c r="AR170" s="33847"/>
      <c r="AS170" s="33848"/>
      <c r="AT170" s="33849"/>
      <c r="AU170" s="33850"/>
      <c r="AV170" s="33851"/>
      <c r="AW170" s="33852"/>
      <c r="AX170" s="33853"/>
      <c r="AY170" s="33854"/>
      <c r="AZ170" s="33855"/>
      <c r="BA170" s="33856"/>
      <c r="BB170" s="33857"/>
      <c r="BC170" s="33858"/>
      <c r="BD170" s="33859"/>
      <c r="BE170" s="33860"/>
      <c r="BF170" s="33861"/>
      <c r="BG170" s="33862"/>
      <c r="BH170" s="33863"/>
      <c r="BI170" s="33864"/>
      <c r="BJ170" s="33865"/>
      <c r="BK170" s="33866"/>
      <c r="BL170" s="33867"/>
      <c r="BM170" s="33868"/>
      <c r="BN170" s="33869"/>
      <c r="BO170" s="33870"/>
      <c r="BP170" s="33871"/>
      <c r="BQ170" s="33872"/>
      <c r="BR170" s="33873"/>
      <c r="BS170" s="33874"/>
      <c r="BT170" s="33875"/>
      <c r="BU170" s="33876"/>
      <c r="BV170" s="33877"/>
      <c r="BW170" s="33878"/>
      <c r="BX170" s="33879"/>
      <c r="BY170" s="33880"/>
      <c r="BZ170" s="33881"/>
      <c r="CA170" s="33882"/>
      <c r="CB170" s="33883"/>
      <c r="CC170" s="33884"/>
      <c r="CD170" s="33885"/>
      <c r="CE170" s="33886"/>
      <c r="CF170" s="33887"/>
      <c r="CG170" s="33888"/>
      <c r="CH170" s="33889"/>
      <c r="CI170" s="33890"/>
      <c r="CJ170" s="33891"/>
      <c r="CK170" s="33892"/>
      <c r="CL170" s="33893"/>
      <c r="CM170" s="33894"/>
      <c r="CN170" s="33895"/>
      <c r="CO170" s="33896"/>
      <c r="CP170" s="33897"/>
      <c r="CQ170" s="33898"/>
      <c r="CR170" s="33899"/>
      <c r="CS170" s="33900"/>
      <c r="CT170" s="33901"/>
      <c r="CU170" s="33902"/>
      <c r="CV170" s="33224" t="s">
        <v>623</v>
      </c>
      <c r="CW170" s="33123"/>
      <c r="CX170" s="33124"/>
      <c r="CY170" s="33124" t="str">
        <f>IF(T170="","",T170)</f>
        <v>Добавить значение признака дифференциации</v>
      </c>
      <c r="CZ170" s="33124"/>
      <c r="DA170" s="33124"/>
      <c r="DB170" s="33125">
        <v>0</v>
      </c>
    </row>
    <row s="55559" customFormat="1" customHeight="1" ht="21">
      <c r="A171" s="21621"/>
      <c r="B171" s="21621"/>
      <c r="C171" s="21621"/>
      <c r="D171" s="21621"/>
      <c r="E171" s="21622"/>
      <c r="F171" s="21622" t="s">
        <v>121</v>
      </c>
      <c r="G171" s="21622"/>
      <c r="H171" s="21622"/>
      <c r="I171" s="21638"/>
      <c r="J171" s="21621"/>
      <c r="K171" s="21621"/>
      <c r="L171" s="21624"/>
      <c r="M171" s="21639"/>
      <c r="N171" s="21639"/>
      <c r="O171" s="21639"/>
      <c r="P171" s="21640"/>
      <c r="Q171" s="21640"/>
      <c r="R171" s="21641"/>
      <c r="S171" s="24294"/>
      <c r="T171" s="24295" t="s">
        <v>551</v>
      </c>
      <c r="U171" s="24296"/>
      <c r="V171" s="24297"/>
      <c r="W171" s="24298"/>
      <c r="X171" s="24299"/>
      <c r="Y171" s="24300"/>
      <c r="Z171" s="24301"/>
      <c r="AA171" s="24302"/>
      <c r="AB171" s="24303"/>
      <c r="AC171" s="24304"/>
      <c r="AD171" s="24305"/>
      <c r="AE171" s="24306"/>
      <c r="AF171" s="24307"/>
      <c r="AG171" s="24308"/>
      <c r="AH171" s="24309"/>
      <c r="AI171" s="24310"/>
      <c r="AJ171" s="24311"/>
      <c r="AK171" s="24312"/>
      <c r="AL171" s="24313"/>
      <c r="AM171" s="24314"/>
      <c r="AN171" s="24315"/>
      <c r="AO171" s="24316"/>
      <c r="AP171" s="24317"/>
      <c r="AQ171" s="24318"/>
      <c r="AR171" s="24319"/>
      <c r="AS171" s="24320"/>
      <c r="AT171" s="24321"/>
      <c r="AU171" s="24322"/>
      <c r="AV171" s="24323"/>
      <c r="AW171" s="24324"/>
      <c r="AX171" s="24325"/>
      <c r="AY171" s="24326"/>
      <c r="AZ171" s="24327"/>
      <c r="BA171" s="24328"/>
      <c r="BB171" s="24329"/>
      <c r="BC171" s="24330"/>
      <c r="BD171" s="24331"/>
      <c r="BE171" s="24332"/>
      <c r="BF171" s="24333"/>
      <c r="BG171" s="24334"/>
      <c r="BH171" s="24335"/>
      <c r="BI171" s="24336"/>
      <c r="BJ171" s="24337"/>
      <c r="BK171" s="24338"/>
      <c r="BL171" s="24339"/>
      <c r="BM171" s="24340"/>
      <c r="BN171" s="24341"/>
      <c r="BO171" s="24342"/>
      <c r="BP171" s="24343"/>
      <c r="BQ171" s="24344"/>
      <c r="BR171" s="24345"/>
      <c r="BS171" s="24346"/>
      <c r="BT171" s="24347"/>
      <c r="BU171" s="24348"/>
      <c r="BV171" s="24349"/>
      <c r="BW171" s="24350"/>
      <c r="BX171" s="24351"/>
      <c r="BY171" s="24352"/>
      <c r="BZ171" s="24353"/>
      <c r="CA171" s="24354"/>
      <c r="CB171" s="24355"/>
      <c r="CC171" s="24356"/>
      <c r="CD171" s="24357"/>
      <c r="CE171" s="24358"/>
      <c r="CF171" s="24359"/>
      <c r="CG171" s="24360"/>
      <c r="CH171" s="24361"/>
      <c r="CI171" s="24362"/>
      <c r="CJ171" s="24363"/>
      <c r="CK171" s="24364"/>
      <c r="CL171" s="24365"/>
      <c r="CM171" s="24366"/>
      <c r="CN171" s="24367"/>
      <c r="CO171" s="24368"/>
      <c r="CP171" s="24369"/>
      <c r="CQ171" s="24370"/>
      <c r="CR171" s="24371"/>
      <c r="CS171" s="24372"/>
      <c r="CT171" s="24373"/>
      <c r="CU171" s="24374"/>
      <c r="CV171" s="24375"/>
      <c r="CW171" s="21281"/>
      <c r="CX171" s="21633"/>
      <c r="CY171" s="21633" t="str">
        <f>IF(T171="","",T171)</f>
        <v>Добавить группу потребителей</v>
      </c>
      <c r="CZ171" s="21633"/>
      <c r="DA171" s="21633"/>
      <c r="DB171" s="21020">
        <v>0</v>
      </c>
    </row>
    <row s="55642" customFormat="1" customHeight="1" ht="14.25">
      <c r="A172" s="21621"/>
      <c r="B172" s="21621"/>
      <c r="C172" s="21621"/>
      <c r="D172" s="21621"/>
      <c r="E172" s="21622"/>
      <c r="F172" s="21622" t="s">
        <v>121</v>
      </c>
      <c r="G172" s="21622"/>
      <c r="H172" s="21623"/>
      <c r="I172" s="21621"/>
      <c r="J172" s="21621"/>
      <c r="K172" s="21621"/>
      <c r="L172" s="21624"/>
      <c r="M172" s="21625"/>
      <c r="N172" s="21625"/>
      <c r="O172" s="21264"/>
      <c r="P172" s="21910"/>
      <c r="Q172" s="21911"/>
      <c r="R172" s="21912"/>
      <c r="S172" s="24377"/>
      <c r="T172" s="24378" t="s">
        <v>624</v>
      </c>
      <c r="U172" s="24379"/>
      <c r="V172" s="24380"/>
      <c r="W172" s="24381"/>
      <c r="X172" s="24382"/>
      <c r="Y172" s="24383"/>
      <c r="Z172" s="24384"/>
      <c r="AA172" s="24385"/>
      <c r="AB172" s="24386"/>
      <c r="AC172" s="24387"/>
      <c r="AD172" s="24388"/>
      <c r="AE172" s="24389"/>
      <c r="AF172" s="24390"/>
      <c r="AG172" s="24391"/>
      <c r="AH172" s="24392"/>
      <c r="AI172" s="24393"/>
      <c r="AJ172" s="24394"/>
      <c r="AK172" s="24395"/>
      <c r="AL172" s="24396"/>
      <c r="AM172" s="24397"/>
      <c r="AN172" s="24398"/>
      <c r="AO172" s="24399"/>
      <c r="AP172" s="24400"/>
      <c r="AQ172" s="24401"/>
      <c r="AR172" s="24402"/>
      <c r="AS172" s="24403"/>
      <c r="AT172" s="24404"/>
      <c r="AU172" s="24405"/>
      <c r="AV172" s="24406"/>
      <c r="AW172" s="24407"/>
      <c r="AX172" s="24408"/>
      <c r="AY172" s="24409"/>
      <c r="AZ172" s="24410"/>
      <c r="BA172" s="24411"/>
      <c r="BB172" s="24412"/>
      <c r="BC172" s="24413"/>
      <c r="BD172" s="24414"/>
      <c r="BE172" s="24415"/>
      <c r="BF172" s="24416"/>
      <c r="BG172" s="24417"/>
      <c r="BH172" s="24418"/>
      <c r="BI172" s="24419"/>
      <c r="BJ172" s="24420"/>
      <c r="BK172" s="24421"/>
      <c r="BL172" s="24422"/>
      <c r="BM172" s="24423"/>
      <c r="BN172" s="24424"/>
      <c r="BO172" s="24425"/>
      <c r="BP172" s="24426"/>
      <c r="BQ172" s="24427"/>
      <c r="BR172" s="24428"/>
      <c r="BS172" s="24429"/>
      <c r="BT172" s="24430"/>
      <c r="BU172" s="24431"/>
      <c r="BV172" s="24432"/>
      <c r="BW172" s="24433"/>
      <c r="BX172" s="24434"/>
      <c r="BY172" s="24435"/>
      <c r="BZ172" s="24436"/>
      <c r="CA172" s="24437"/>
      <c r="CB172" s="24438"/>
      <c r="CC172" s="24439"/>
      <c r="CD172" s="24440"/>
      <c r="CE172" s="24441"/>
      <c r="CF172" s="24442"/>
      <c r="CG172" s="24443"/>
      <c r="CH172" s="24444"/>
      <c r="CI172" s="24445"/>
      <c r="CJ172" s="24446"/>
      <c r="CK172" s="24447"/>
      <c r="CL172" s="24448"/>
      <c r="CM172" s="24449"/>
      <c r="CN172" s="24450"/>
      <c r="CO172" s="24451"/>
      <c r="CP172" s="24452"/>
      <c r="CQ172" s="24453"/>
      <c r="CR172" s="24454"/>
      <c r="CS172" s="24455"/>
      <c r="CT172" s="24456"/>
      <c r="CU172" s="24457"/>
      <c r="CV172" s="24458"/>
      <c r="CW172" s="21281"/>
      <c r="CX172" s="21633"/>
      <c r="CY172" s="21633" t="str">
        <f>IF(T172="","",T172)</f>
        <v>Добавить наименование признака дифференциации</v>
      </c>
      <c r="CZ172" s="21633"/>
      <c r="DA172" s="21633"/>
      <c r="DB172" s="21020">
        <v>0</v>
      </c>
    </row>
    <row s="55725" customFormat="1" customHeight="1" ht="14.25">
      <c r="A173" s="21996"/>
      <c r="B173" s="21996"/>
      <c r="C173" s="21996"/>
      <c r="D173" s="21996"/>
      <c r="E173" s="21622"/>
      <c r="F173" s="21623" t="s">
        <v>121</v>
      </c>
      <c r="G173" s="21996"/>
      <c r="H173" s="21996"/>
      <c r="I173" s="21996"/>
      <c r="J173" s="21996"/>
      <c r="K173" s="21996"/>
      <c r="L173" s="21997"/>
      <c r="M173" s="21998"/>
      <c r="N173" s="21998"/>
      <c r="O173" s="21281"/>
      <c r="P173" s="21999"/>
      <c r="Q173" s="22000"/>
      <c r="R173" s="21999"/>
      <c r="S173" s="22001"/>
      <c r="T173" s="22002" t="s">
        <v>290</v>
      </c>
      <c r="U173" s="21260"/>
      <c r="V173" s="21260"/>
      <c r="W173" s="21260"/>
      <c r="X173" s="21260"/>
      <c r="Y173" s="21260"/>
      <c r="Z173" s="21260"/>
      <c r="AA173" s="21260"/>
      <c r="AB173" s="21260"/>
      <c r="AC173" s="21260"/>
      <c r="AD173" s="21260"/>
      <c r="AE173" s="21260"/>
      <c r="AF173" s="21260"/>
      <c r="AG173" s="21260"/>
      <c r="AH173" s="21260"/>
      <c r="AI173" s="21260"/>
      <c r="AJ173" s="21260"/>
      <c r="AK173" s="21260"/>
      <c r="AL173" s="21260"/>
      <c r="AM173" s="21260"/>
      <c r="AN173" s="21260"/>
      <c r="AO173" s="21260"/>
      <c r="AP173" s="21260"/>
      <c r="AQ173" s="21260"/>
      <c r="AR173" s="21260"/>
      <c r="AS173" s="21260"/>
      <c r="AT173" s="21260"/>
      <c r="AU173" s="21260"/>
      <c r="AV173" s="21260"/>
      <c r="AW173" s="21260"/>
      <c r="AX173" s="21260"/>
      <c r="AY173" s="21260"/>
      <c r="AZ173" s="21260"/>
      <c r="BA173" s="21260"/>
      <c r="BB173" s="21260"/>
      <c r="BC173" s="21260"/>
      <c r="BD173" s="21260"/>
      <c r="BE173" s="21260"/>
      <c r="BF173" s="21260"/>
      <c r="BG173" s="21260"/>
      <c r="BH173" s="21260"/>
      <c r="BI173" s="21260"/>
      <c r="BJ173" s="21260"/>
      <c r="BK173" s="21260"/>
      <c r="BL173" s="21260"/>
      <c r="BM173" s="21260"/>
      <c r="BN173" s="21260"/>
      <c r="BO173" s="21260"/>
      <c r="BP173" s="21260"/>
      <c r="BQ173" s="21260"/>
      <c r="BR173" s="21260"/>
      <c r="BS173" s="21260"/>
      <c r="BT173" s="21260"/>
      <c r="BU173" s="21260"/>
      <c r="BV173" s="21260"/>
      <c r="BW173" s="21260"/>
      <c r="BX173" s="21260"/>
      <c r="BY173" s="21260"/>
      <c r="BZ173" s="21260"/>
      <c r="CA173" s="21260"/>
      <c r="CB173" s="21260"/>
      <c r="CC173" s="21260"/>
      <c r="CD173" s="21260"/>
      <c r="CE173" s="21260"/>
      <c r="CF173" s="21260"/>
      <c r="CG173" s="21260"/>
      <c r="CH173" s="21260"/>
      <c r="CI173" s="21260"/>
      <c r="CJ173" s="21260"/>
      <c r="CK173" s="21260"/>
      <c r="CL173" s="21260"/>
      <c r="CM173" s="21260"/>
      <c r="CN173" s="21260"/>
      <c r="CO173" s="21260"/>
      <c r="CP173" s="21260"/>
      <c r="CQ173" s="21260"/>
      <c r="CR173" s="21260"/>
      <c r="CS173" s="21260"/>
      <c r="CT173" s="21260"/>
      <c r="CU173" s="21260"/>
      <c r="CV173" s="21260"/>
      <c r="CW173" s="21281"/>
      <c r="CX173" s="21633"/>
      <c r="CY173" s="21633" t="str">
        <f>IF(T173="","",T173)</f>
        <v>Добавить централизованную систему для дифференциации</v>
      </c>
      <c r="CZ173" s="21633"/>
      <c r="DA173" s="21633"/>
      <c r="DB173" s="21281">
        <v>0</v>
      </c>
    </row>
    <row s="55726" customFormat="1" customHeight="1" ht="23.25">
      <c r="A174" s="21621"/>
      <c r="B174" s="21621" t="s">
        <v>324</v>
      </c>
      <c r="C174" s="21621"/>
      <c r="D174" s="21621"/>
      <c r="E174" s="21622"/>
      <c r="F174" s="21623" t="s">
        <v>95</v>
      </c>
      <c r="G174" s="21621"/>
      <c r="H174" s="21621"/>
      <c r="I174" s="21621"/>
      <c r="J174" s="21621"/>
      <c r="K174" s="21621"/>
      <c r="L174" s="21624"/>
      <c r="M174" s="21625"/>
      <c r="N174" s="21625"/>
      <c r="O174" s="21625"/>
      <c r="P174" s="21626"/>
      <c r="Q174" s="21627"/>
      <c r="R174" s="21628"/>
      <c r="S174" s="21629" t="str">
        <f>INDEX(PT_DIFFERENTIATION_NUM_TER,MATCH(B174,PT_DIFFERENTIATION_TER_ID,0))</f>
        <v>1.7</v>
      </c>
      <c r="T174" s="21630" t="s">
        <v>536</v>
      </c>
      <c r="U174" s="21631"/>
      <c r="V174" s="21025"/>
      <c r="W174" s="21026"/>
      <c r="X174" s="21026"/>
      <c r="Y174" s="21026"/>
      <c r="Z174" s="21026"/>
      <c r="AA174" s="21026"/>
      <c r="AB174" s="21027"/>
      <c r="AC174" s="21025" t="str">
        <f>INDEX(PT_DIFFERENTIATION_TER,MATCH(B174,PT_DIFFERENTIATION_TER_ID,0))</f>
        <v>Территория 7</v>
      </c>
      <c r="AD174" s="21026"/>
      <c r="AE174" s="21026"/>
      <c r="AF174" s="21026"/>
      <c r="AG174" s="21026"/>
      <c r="AH174" s="21026"/>
      <c r="AI174" s="21026"/>
      <c r="AJ174" s="21025"/>
      <c r="AK174" s="21026"/>
      <c r="AL174" s="21026"/>
      <c r="AM174" s="21026"/>
      <c r="AN174" s="21026"/>
      <c r="AO174" s="21026"/>
      <c r="AP174" s="21027"/>
      <c r="AQ174" s="21025"/>
      <c r="AR174" s="21026"/>
      <c r="AS174" s="21026"/>
      <c r="AT174" s="21026"/>
      <c r="AU174" s="21026"/>
      <c r="AV174" s="21026"/>
      <c r="AW174" s="21027"/>
      <c r="AX174" s="21025"/>
      <c r="AY174" s="21026"/>
      <c r="AZ174" s="21026"/>
      <c r="BA174" s="21026"/>
      <c r="BB174" s="21026"/>
      <c r="BC174" s="21026"/>
      <c r="BD174" s="21027"/>
      <c r="BE174" s="21025"/>
      <c r="BF174" s="21026"/>
      <c r="BG174" s="21026"/>
      <c r="BH174" s="21026"/>
      <c r="BI174" s="21026"/>
      <c r="BJ174" s="21026"/>
      <c r="BK174" s="21027"/>
      <c r="BL174" s="21025"/>
      <c r="BM174" s="21026"/>
      <c r="BN174" s="21026"/>
      <c r="BO174" s="21026"/>
      <c r="BP174" s="21026"/>
      <c r="BQ174" s="21026"/>
      <c r="BR174" s="21027"/>
      <c r="BS174" s="21025"/>
      <c r="BT174" s="21026"/>
      <c r="BU174" s="21026"/>
      <c r="BV174" s="21026"/>
      <c r="BW174" s="21026"/>
      <c r="BX174" s="21026"/>
      <c r="BY174" s="21027"/>
      <c r="BZ174" s="21025"/>
      <c r="CA174" s="21026"/>
      <c r="CB174" s="21026"/>
      <c r="CC174" s="21026"/>
      <c r="CD174" s="21026"/>
      <c r="CE174" s="21026"/>
      <c r="CF174" s="21027"/>
      <c r="CG174" s="21025"/>
      <c r="CH174" s="21026"/>
      <c r="CI174" s="21026"/>
      <c r="CJ174" s="21026"/>
      <c r="CK174" s="21026"/>
      <c r="CL174" s="21026"/>
      <c r="CM174" s="21027"/>
      <c r="CN174" s="21025"/>
      <c r="CO174" s="21026"/>
      <c r="CP174" s="21026"/>
      <c r="CQ174" s="21026"/>
      <c r="CR174" s="21026"/>
      <c r="CS174" s="21026"/>
      <c r="CT174" s="21027"/>
      <c r="CU174" s="21027"/>
      <c r="CV174" s="21632" t="s">
        <v>537</v>
      </c>
      <c r="CW174" s="21281"/>
      <c r="CX174" s="21633"/>
      <c r="CY174" s="21633" t="str">
        <f>IF(T174="","",T174)</f>
        <v>Территория действия тарифа</v>
      </c>
      <c r="CZ174" s="21633"/>
      <c r="DA174" s="21633"/>
      <c r="DB174" s="21020">
        <v>0</v>
      </c>
    </row>
    <row s="55727" customFormat="1" customHeight="1" ht="23.25">
      <c r="A175" s="21621"/>
      <c r="B175" s="21621"/>
      <c r="C175" s="21621" t="s">
        <v>325</v>
      </c>
      <c r="D175" s="21621"/>
      <c r="E175" s="21622"/>
      <c r="F175" s="21622" t="s">
        <v>94</v>
      </c>
      <c r="G175" s="21623">
        <v>1</v>
      </c>
      <c r="H175" s="21621"/>
      <c r="I175" s="21621"/>
      <c r="J175" s="21621"/>
      <c r="K175" s="21621"/>
      <c r="L175" s="21624"/>
      <c r="M175" s="21625"/>
      <c r="N175" s="21625"/>
      <c r="O175" s="21625"/>
      <c r="P175" s="21635"/>
      <c r="Q175" s="21627"/>
      <c r="R175" s="21628"/>
      <c r="S175" s="21629" t="str">
        <f>INDEX(PT_DIFFERENTIATION_NUM_CS,MATCH(C175,PT_DIFFERENTIATION_CS_ID,0))</f>
        <v>1.7.1</v>
      </c>
      <c r="T175" s="21636" t="s">
        <v>617</v>
      </c>
      <c r="U175" s="21631"/>
      <c r="V175" s="21025"/>
      <c r="W175" s="21026"/>
      <c r="X175" s="21026"/>
      <c r="Y175" s="21026"/>
      <c r="Z175" s="21026"/>
      <c r="AA175" s="21026"/>
      <c r="AB175" s="21027"/>
      <c r="AC175" s="21025" t="str">
        <f>INDEX(PT_DIFFERENTIATION_CS,MATCH(C175,PT_DIFFERENTIATION_CS_ID,0))</f>
        <v>с. Реттиховка</v>
      </c>
      <c r="AD175" s="21026"/>
      <c r="AE175" s="21026"/>
      <c r="AF175" s="21026"/>
      <c r="AG175" s="21026"/>
      <c r="AH175" s="21026"/>
      <c r="AI175" s="21026"/>
      <c r="AJ175" s="21025"/>
      <c r="AK175" s="21026"/>
      <c r="AL175" s="21026"/>
      <c r="AM175" s="21026"/>
      <c r="AN175" s="21026"/>
      <c r="AO175" s="21026"/>
      <c r="AP175" s="21027"/>
      <c r="AQ175" s="21025"/>
      <c r="AR175" s="21026"/>
      <c r="AS175" s="21026"/>
      <c r="AT175" s="21026"/>
      <c r="AU175" s="21026"/>
      <c r="AV175" s="21026"/>
      <c r="AW175" s="21027"/>
      <c r="AX175" s="21025"/>
      <c r="AY175" s="21026"/>
      <c r="AZ175" s="21026"/>
      <c r="BA175" s="21026"/>
      <c r="BB175" s="21026"/>
      <c r="BC175" s="21026"/>
      <c r="BD175" s="21027"/>
      <c r="BE175" s="21025"/>
      <c r="BF175" s="21026"/>
      <c r="BG175" s="21026"/>
      <c r="BH175" s="21026"/>
      <c r="BI175" s="21026"/>
      <c r="BJ175" s="21026"/>
      <c r="BK175" s="21027"/>
      <c r="BL175" s="21025"/>
      <c r="BM175" s="21026"/>
      <c r="BN175" s="21026"/>
      <c r="BO175" s="21026"/>
      <c r="BP175" s="21026"/>
      <c r="BQ175" s="21026"/>
      <c r="BR175" s="21027"/>
      <c r="BS175" s="21025"/>
      <c r="BT175" s="21026"/>
      <c r="BU175" s="21026"/>
      <c r="BV175" s="21026"/>
      <c r="BW175" s="21026"/>
      <c r="BX175" s="21026"/>
      <c r="BY175" s="21027"/>
      <c r="BZ175" s="21025"/>
      <c r="CA175" s="21026"/>
      <c r="CB175" s="21026"/>
      <c r="CC175" s="21026"/>
      <c r="CD175" s="21026"/>
      <c r="CE175" s="21026"/>
      <c r="CF175" s="21027"/>
      <c r="CG175" s="21025"/>
      <c r="CH175" s="21026"/>
      <c r="CI175" s="21026"/>
      <c r="CJ175" s="21026"/>
      <c r="CK175" s="21026"/>
      <c r="CL175" s="21026"/>
      <c r="CM175" s="21027"/>
      <c r="CN175" s="21025"/>
      <c r="CO175" s="21026"/>
      <c r="CP175" s="21026"/>
      <c r="CQ175" s="21026"/>
      <c r="CR175" s="21026"/>
      <c r="CS175" s="21026"/>
      <c r="CT175" s="21027"/>
      <c r="CU175" s="21027"/>
      <c r="CV175" s="21632" t="s">
        <v>618</v>
      </c>
      <c r="CW175" s="21281"/>
      <c r="CX175" s="21633"/>
      <c r="CY175" s="21633" t="str">
        <f>IF(T175="","",T175)</f>
        <v>Наименование централизованной системы холодного водоснабжения</v>
      </c>
      <c r="CZ175" s="21633"/>
      <c r="DA175" s="21633"/>
      <c r="DB175" s="21020">
        <v>0</v>
      </c>
    </row>
    <row s="55728" customFormat="1" customHeight="1" ht="23.25">
      <c r="A176" s="21621"/>
      <c r="B176" s="21621"/>
      <c r="C176" s="21621"/>
      <c r="D176" s="21621"/>
      <c r="E176" s="21622"/>
      <c r="F176" s="21622" t="s">
        <v>94</v>
      </c>
      <c r="G176" s="21622"/>
      <c r="H176" s="21622"/>
      <c r="I176" s="21638" t="str">
        <f>S175&amp;".1"</f>
        <v>1.7.1.1</v>
      </c>
      <c r="J176" s="21621"/>
      <c r="K176" s="21621"/>
      <c r="L176" s="21624"/>
      <c r="M176" s="21639"/>
      <c r="N176" s="21639"/>
      <c r="O176" s="21639"/>
      <c r="P176" s="21640">
        <v>1</v>
      </c>
      <c r="Q176" s="21640"/>
      <c r="R176" s="21641"/>
      <c r="S176" s="21629" t="str">
        <f>$I176</f>
        <v>1.7.1.1</v>
      </c>
      <c r="T176" s="21642" t="s">
        <v>619</v>
      </c>
      <c r="U176" s="21631"/>
      <c r="V176" s="21038"/>
      <c r="W176" s="21039"/>
      <c r="X176" s="21039"/>
      <c r="Y176" s="21039"/>
      <c r="Z176" s="21039"/>
      <c r="AA176" s="21039"/>
      <c r="AB176" s="21040"/>
      <c r="AC176" s="21643"/>
      <c r="AD176" s="21644"/>
      <c r="AE176" s="21644"/>
      <c r="AF176" s="21644"/>
      <c r="AG176" s="21644"/>
      <c r="AH176" s="21644"/>
      <c r="AI176" s="21644"/>
      <c r="AJ176" s="21038"/>
      <c r="AK176" s="21039"/>
      <c r="AL176" s="21039"/>
      <c r="AM176" s="21039"/>
      <c r="AN176" s="21039"/>
      <c r="AO176" s="21039"/>
      <c r="AP176" s="21040"/>
      <c r="AQ176" s="21038"/>
      <c r="AR176" s="21039"/>
      <c r="AS176" s="21039"/>
      <c r="AT176" s="21039"/>
      <c r="AU176" s="21039"/>
      <c r="AV176" s="21039"/>
      <c r="AW176" s="21040"/>
      <c r="AX176" s="21038"/>
      <c r="AY176" s="21039"/>
      <c r="AZ176" s="21039"/>
      <c r="BA176" s="21039"/>
      <c r="BB176" s="21039"/>
      <c r="BC176" s="21039"/>
      <c r="BD176" s="21040"/>
      <c r="BE176" s="21038"/>
      <c r="BF176" s="21039"/>
      <c r="BG176" s="21039"/>
      <c r="BH176" s="21039"/>
      <c r="BI176" s="21039"/>
      <c r="BJ176" s="21039"/>
      <c r="BK176" s="21040"/>
      <c r="BL176" s="21038"/>
      <c r="BM176" s="21039"/>
      <c r="BN176" s="21039"/>
      <c r="BO176" s="21039"/>
      <c r="BP176" s="21039"/>
      <c r="BQ176" s="21039"/>
      <c r="BR176" s="21040"/>
      <c r="BS176" s="21038"/>
      <c r="BT176" s="21039"/>
      <c r="BU176" s="21039"/>
      <c r="BV176" s="21039"/>
      <c r="BW176" s="21039"/>
      <c r="BX176" s="21039"/>
      <c r="BY176" s="21040"/>
      <c r="BZ176" s="21038"/>
      <c r="CA176" s="21039"/>
      <c r="CB176" s="21039"/>
      <c r="CC176" s="21039"/>
      <c r="CD176" s="21039"/>
      <c r="CE176" s="21039"/>
      <c r="CF176" s="21040"/>
      <c r="CG176" s="21038"/>
      <c r="CH176" s="21039"/>
      <c r="CI176" s="21039"/>
      <c r="CJ176" s="21039"/>
      <c r="CK176" s="21039"/>
      <c r="CL176" s="21039"/>
      <c r="CM176" s="21040"/>
      <c r="CN176" s="21038"/>
      <c r="CO176" s="21039"/>
      <c r="CP176" s="21039"/>
      <c r="CQ176" s="21039"/>
      <c r="CR176" s="21039"/>
      <c r="CS176" s="21039"/>
      <c r="CT176" s="21040"/>
      <c r="CU176" s="21645"/>
      <c r="CV176" s="21632" t="s">
        <v>620</v>
      </c>
      <c r="CW176" s="21281"/>
      <c r="CX176" s="21633"/>
      <c r="CY176" s="21633" t="str">
        <f>IF(T176="","",T176)</f>
        <v>Наименование признака дифференциации</v>
      </c>
      <c r="CZ176" s="21633"/>
      <c r="DA176" s="21633"/>
      <c r="DB176" s="21020">
        <v>0</v>
      </c>
    </row>
    <row s="55729" customFormat="1" customHeight="1" ht="23.25">
      <c r="A177" s="21621"/>
      <c r="B177" s="21621"/>
      <c r="C177" s="21621"/>
      <c r="D177" s="21621"/>
      <c r="E177" s="21622"/>
      <c r="F177" s="21622" t="s">
        <v>94</v>
      </c>
      <c r="G177" s="21622"/>
      <c r="H177" s="21622"/>
      <c r="I177" s="21647"/>
      <c r="J177" s="21638" t="str">
        <f>I176&amp;".1"</f>
        <v>1.7.1.1.1</v>
      </c>
      <c r="K177" s="21621"/>
      <c r="L177" s="21624" t="s">
        <v>545</v>
      </c>
      <c r="M177" s="21639"/>
      <c r="N177" s="21639"/>
      <c r="O177" s="21639"/>
      <c r="P177" s="21640"/>
      <c r="Q177" s="21640">
        <v>1</v>
      </c>
      <c r="R177" s="21648"/>
      <c r="S177" s="21629" t="str">
        <f>$J177</f>
        <v>1.7.1.1.1</v>
      </c>
      <c r="T177" s="21649" t="s">
        <v>546</v>
      </c>
      <c r="U177" s="21631"/>
      <c r="V177" s="21045"/>
      <c r="W177" s="21046"/>
      <c r="X177" s="21046"/>
      <c r="Y177" s="21046"/>
      <c r="Z177" s="21046"/>
      <c r="AA177" s="21046"/>
      <c r="AB177" s="21047"/>
      <c r="AC177" s="21045" t="s">
        <v>632</v>
      </c>
      <c r="AD177" s="21046"/>
      <c r="AE177" s="21046"/>
      <c r="AF177" s="21046"/>
      <c r="AG177" s="21046"/>
      <c r="AH177" s="21046"/>
      <c r="AI177" s="21046"/>
      <c r="AJ177" s="21045"/>
      <c r="AK177" s="21046"/>
      <c r="AL177" s="21046"/>
      <c r="AM177" s="21046"/>
      <c r="AN177" s="21046"/>
      <c r="AO177" s="21046"/>
      <c r="AP177" s="21047"/>
      <c r="AQ177" s="21045"/>
      <c r="AR177" s="21046"/>
      <c r="AS177" s="21046"/>
      <c r="AT177" s="21046"/>
      <c r="AU177" s="21046"/>
      <c r="AV177" s="21046"/>
      <c r="AW177" s="21047"/>
      <c r="AX177" s="21045"/>
      <c r="AY177" s="21046"/>
      <c r="AZ177" s="21046"/>
      <c r="BA177" s="21046"/>
      <c r="BB177" s="21046"/>
      <c r="BC177" s="21046"/>
      <c r="BD177" s="21047"/>
      <c r="BE177" s="21045"/>
      <c r="BF177" s="21046"/>
      <c r="BG177" s="21046"/>
      <c r="BH177" s="21046"/>
      <c r="BI177" s="21046"/>
      <c r="BJ177" s="21046"/>
      <c r="BK177" s="21047"/>
      <c r="BL177" s="21045"/>
      <c r="BM177" s="21046"/>
      <c r="BN177" s="21046"/>
      <c r="BO177" s="21046"/>
      <c r="BP177" s="21046"/>
      <c r="BQ177" s="21046"/>
      <c r="BR177" s="21047"/>
      <c r="BS177" s="21045"/>
      <c r="BT177" s="21046"/>
      <c r="BU177" s="21046"/>
      <c r="BV177" s="21046"/>
      <c r="BW177" s="21046"/>
      <c r="BX177" s="21046"/>
      <c r="BY177" s="21047"/>
      <c r="BZ177" s="21045"/>
      <c r="CA177" s="21046"/>
      <c r="CB177" s="21046"/>
      <c r="CC177" s="21046"/>
      <c r="CD177" s="21046"/>
      <c r="CE177" s="21046"/>
      <c r="CF177" s="21047"/>
      <c r="CG177" s="21045"/>
      <c r="CH177" s="21046"/>
      <c r="CI177" s="21046"/>
      <c r="CJ177" s="21046"/>
      <c r="CK177" s="21046"/>
      <c r="CL177" s="21046"/>
      <c r="CM177" s="21047"/>
      <c r="CN177" s="21045"/>
      <c r="CO177" s="21046"/>
      <c r="CP177" s="21046"/>
      <c r="CQ177" s="21046"/>
      <c r="CR177" s="21046"/>
      <c r="CS177" s="21046"/>
      <c r="CT177" s="21047"/>
      <c r="CU177" s="21047"/>
      <c r="CV177" s="21650" t="s">
        <v>621</v>
      </c>
      <c r="CW177" s="21281"/>
      <c r="CX177" s="21633"/>
      <c r="CY177" s="21633" t="str">
        <f>IF(T177="","",T177)</f>
        <v>Группа потребителей</v>
      </c>
      <c r="CZ177" s="21633"/>
      <c r="DA177" s="21633"/>
      <c r="DB177" s="21020">
        <v>0</v>
      </c>
    </row>
    <row s="55730" customFormat="1" customHeight="1" ht="23.25">
      <c r="A178" s="21621"/>
      <c r="B178" s="21621"/>
      <c r="C178" s="21621"/>
      <c r="D178" s="21621"/>
      <c r="E178" s="21622"/>
      <c r="F178" s="21622" t="s">
        <v>94</v>
      </c>
      <c r="G178" s="21622"/>
      <c r="H178" s="21622"/>
      <c r="I178" s="21647"/>
      <c r="J178" s="21647"/>
      <c r="K178" s="21638" t="str">
        <f>J177&amp;".1"</f>
        <v>1.7.1.1.1.1</v>
      </c>
      <c r="L178" s="21624"/>
      <c r="M178" s="21639"/>
      <c r="N178" s="21639"/>
      <c r="O178" s="21639"/>
      <c r="P178" s="21640"/>
      <c r="Q178" s="21640"/>
      <c r="R178" s="21648">
        <v>1</v>
      </c>
      <c r="S178" s="21629" t="str">
        <f>$K178</f>
        <v>1.7.1.1.1.1</v>
      </c>
      <c r="T178" s="21652"/>
      <c r="U178" s="21631"/>
      <c r="V178" s="21053"/>
      <c r="W178" s="21053"/>
      <c r="X178" s="21054"/>
      <c r="Y178" s="21055"/>
      <c r="Z178" s="21056" t="s">
        <v>63</v>
      </c>
      <c r="AA178" s="21055"/>
      <c r="AB178" s="21056" t="s">
        <v>63</v>
      </c>
      <c r="AC178" s="21053">
        <v>31.99</v>
      </c>
      <c r="AD178" s="21053"/>
      <c r="AE178" s="21054"/>
      <c r="AF178" s="44875">
        <v>45292.43851851852</v>
      </c>
      <c r="AG178" s="21056" t="s">
        <v>63</v>
      </c>
      <c r="AH178" s="44876">
        <v>45473.439108796294</v>
      </c>
      <c r="AI178" s="21056" t="s">
        <v>63</v>
      </c>
      <c r="AJ178" s="21053">
        <v>41.59</v>
      </c>
      <c r="AK178" s="21053"/>
      <c r="AL178" s="21054"/>
      <c r="AM178" s="44875">
        <v>45474.43927083333</v>
      </c>
      <c r="AN178" s="21056" t="s">
        <v>63</v>
      </c>
      <c r="AO178" s="44875">
        <v>45657.43938657407</v>
      </c>
      <c r="AP178" s="21056" t="s">
        <v>63</v>
      </c>
      <c r="AQ178" s="21053">
        <v>41.59</v>
      </c>
      <c r="AR178" s="21053"/>
      <c r="AS178" s="21054"/>
      <c r="AT178" s="44875">
        <v>45658.4396875</v>
      </c>
      <c r="AU178" s="21056" t="s">
        <v>63</v>
      </c>
      <c r="AV178" s="44875">
        <v>45838.43981481482</v>
      </c>
      <c r="AW178" s="21056" t="s">
        <v>63</v>
      </c>
      <c r="AX178" s="21053">
        <v>50.74</v>
      </c>
      <c r="AY178" s="21053"/>
      <c r="AZ178" s="21054"/>
      <c r="BA178" s="44875">
        <v>45839.44043981482</v>
      </c>
      <c r="BB178" s="21056" t="s">
        <v>63</v>
      </c>
      <c r="BC178" s="44875">
        <v>46022.440983796296</v>
      </c>
      <c r="BD178" s="21056" t="s">
        <v>63</v>
      </c>
      <c r="BE178" s="21053">
        <v>50.74</v>
      </c>
      <c r="BF178" s="21053"/>
      <c r="BG178" s="21054"/>
      <c r="BH178" s="44875">
        <v>46023.44125</v>
      </c>
      <c r="BI178" s="21056" t="s">
        <v>63</v>
      </c>
      <c r="BJ178" s="44875">
        <v>46203.44144675926</v>
      </c>
      <c r="BK178" s="21056" t="s">
        <v>63</v>
      </c>
      <c r="BL178" s="21053">
        <v>55.06</v>
      </c>
      <c r="BM178" s="21053"/>
      <c r="BN178" s="21054"/>
      <c r="BO178" s="44875">
        <v>46204.44325231481</v>
      </c>
      <c r="BP178" s="21056" t="s">
        <v>63</v>
      </c>
      <c r="BQ178" s="44875">
        <v>46387.44458333333</v>
      </c>
      <c r="BR178" s="21056" t="s">
        <v>63</v>
      </c>
      <c r="BS178" s="21053">
        <v>55.06</v>
      </c>
      <c r="BT178" s="21053"/>
      <c r="BU178" s="21054"/>
      <c r="BV178" s="44875">
        <v>46388.445</v>
      </c>
      <c r="BW178" s="21056" t="s">
        <v>63</v>
      </c>
      <c r="BX178" s="44875">
        <v>46568.44521990741</v>
      </c>
      <c r="BY178" s="21056" t="s">
        <v>63</v>
      </c>
      <c r="BZ178" s="21053">
        <v>59.74</v>
      </c>
      <c r="CA178" s="21053"/>
      <c r="CB178" s="21054"/>
      <c r="CC178" s="44875">
        <v>46569.44590277778</v>
      </c>
      <c r="CD178" s="21056" t="s">
        <v>63</v>
      </c>
      <c r="CE178" s="44875">
        <v>46752.4462037037</v>
      </c>
      <c r="CF178" s="21056" t="s">
        <v>63</v>
      </c>
      <c r="CG178" s="21053">
        <v>59.74</v>
      </c>
      <c r="CH178" s="21053"/>
      <c r="CI178" s="21054"/>
      <c r="CJ178" s="44875">
        <v>46753.446851851855</v>
      </c>
      <c r="CK178" s="21056" t="s">
        <v>63</v>
      </c>
      <c r="CL178" s="44875">
        <v>46934.44724537037</v>
      </c>
      <c r="CM178" s="21056" t="s">
        <v>63</v>
      </c>
      <c r="CN178" s="21053">
        <v>67.28</v>
      </c>
      <c r="CO178" s="21053"/>
      <c r="CP178" s="21054"/>
      <c r="CQ178" s="44875">
        <v>46935.44810185185</v>
      </c>
      <c r="CR178" s="21056" t="s">
        <v>63</v>
      </c>
      <c r="CS178" s="44875">
        <v>47118.448379629626</v>
      </c>
      <c r="CT178" s="21056" t="s">
        <v>63</v>
      </c>
      <c r="CU178" s="21653"/>
      <c r="CV17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8" s="21281">
        <f>STRCHECKDATE(V179:CU179)</f>
      </c>
      <c r="CX178" s="21633"/>
      <c r="CY178" s="21633" t="str">
        <f>IF(T178="","",T178)</f>
        <v/>
      </c>
      <c r="CZ178" s="21633"/>
      <c r="DA178" s="21633"/>
      <c r="DB178" s="21020">
        <v>0</v>
      </c>
    </row>
    <row s="55733" customFormat="1" customHeight="1" ht="14.25">
      <c r="A179" s="21621"/>
      <c r="B179" s="21621"/>
      <c r="C179" s="21621"/>
      <c r="D179" s="21621"/>
      <c r="E179" s="21622"/>
      <c r="F179" s="21622" t="s">
        <v>94</v>
      </c>
      <c r="G179" s="21622"/>
      <c r="H179" s="21622"/>
      <c r="I179" s="21647"/>
      <c r="J179" s="21647"/>
      <c r="K179" s="21638"/>
      <c r="L179" s="21624"/>
      <c r="M179" s="21639"/>
      <c r="N179" s="21639"/>
      <c r="O179" s="21639"/>
      <c r="P179" s="21640"/>
      <c r="Q179" s="21640"/>
      <c r="R179" s="21648"/>
      <c r="S179" s="21656"/>
      <c r="T179" s="21631"/>
      <c r="U179" s="21631"/>
      <c r="V179" s="21063"/>
      <c r="W179" s="21063"/>
      <c r="X179" s="21064" t="str">
        <f>Y178&amp;"-"&amp;AA178</f>
        <v>-</v>
      </c>
      <c r="Y179" s="21065"/>
      <c r="Z179" s="21056"/>
      <c r="AA179" s="21065"/>
      <c r="AB179" s="21056"/>
      <c r="AC179" s="21063"/>
      <c r="AD179" s="21063"/>
      <c r="AE179" s="21064" t="str">
        <f>AF178&amp;"-"&amp;AH178</f>
        <v>45292.43851851852-45473.439108796294</v>
      </c>
      <c r="AF179" s="21065"/>
      <c r="AG179" s="21056"/>
      <c r="AH179" s="21324"/>
      <c r="AI179" s="21056"/>
      <c r="AJ179" s="21063"/>
      <c r="AK179" s="21063"/>
      <c r="AL179" s="21064" t="str">
        <f>AM178&amp;"-"&amp;AO178</f>
        <v>45474.43927083333-45657.43938657407</v>
      </c>
      <c r="AM179" s="21065"/>
      <c r="AN179" s="21056"/>
      <c r="AO179" s="21065"/>
      <c r="AP179" s="21056"/>
      <c r="AQ179" s="21063"/>
      <c r="AR179" s="21063"/>
      <c r="AS179" s="21064" t="str">
        <f>AT178&amp;"-"&amp;AV178</f>
        <v>45658.4396875-45838.43981481482</v>
      </c>
      <c r="AT179" s="21065"/>
      <c r="AU179" s="21056"/>
      <c r="AV179" s="21065"/>
      <c r="AW179" s="21056"/>
      <c r="AX179" s="21063"/>
      <c r="AY179" s="21063"/>
      <c r="AZ179" s="21064" t="str">
        <f>BA178&amp;"-"&amp;BC178</f>
        <v>45839.44043981482-46022.440983796296</v>
      </c>
      <c r="BA179" s="21065"/>
      <c r="BB179" s="21056"/>
      <c r="BC179" s="21065"/>
      <c r="BD179" s="21056"/>
      <c r="BE179" s="21063"/>
      <c r="BF179" s="21063"/>
      <c r="BG179" s="21064" t="str">
        <f>BH178&amp;"-"&amp;BJ178</f>
        <v>46023.44125-46203.44144675926</v>
      </c>
      <c r="BH179" s="21065"/>
      <c r="BI179" s="21056"/>
      <c r="BJ179" s="21065"/>
      <c r="BK179" s="21056"/>
      <c r="BL179" s="21063"/>
      <c r="BM179" s="21063"/>
      <c r="BN179" s="21064" t="str">
        <f>BO178&amp;"-"&amp;BQ178</f>
        <v>46204.44325231481-46387.44458333333</v>
      </c>
      <c r="BO179" s="21065"/>
      <c r="BP179" s="21056"/>
      <c r="BQ179" s="21065"/>
      <c r="BR179" s="21056"/>
      <c r="BS179" s="21063"/>
      <c r="BT179" s="21063"/>
      <c r="BU179" s="21064" t="str">
        <f>BV178&amp;"-"&amp;BX178</f>
        <v>46388.445-46568.44521990741</v>
      </c>
      <c r="BV179" s="21065"/>
      <c r="BW179" s="21056"/>
      <c r="BX179" s="21065"/>
      <c r="BY179" s="21056"/>
      <c r="BZ179" s="21063"/>
      <c r="CA179" s="21063"/>
      <c r="CB179" s="21064" t="str">
        <f>CC178&amp;"-"&amp;CE178</f>
        <v>46569.44590277778-46752.4462037037</v>
      </c>
      <c r="CC179" s="21065"/>
      <c r="CD179" s="21056"/>
      <c r="CE179" s="21065"/>
      <c r="CF179" s="21056"/>
      <c r="CG179" s="21063"/>
      <c r="CH179" s="21063"/>
      <c r="CI179" s="21064" t="str">
        <f>CJ178&amp;"-"&amp;CL178</f>
        <v>46753.446851851855-46934.44724537037</v>
      </c>
      <c r="CJ179" s="21065"/>
      <c r="CK179" s="21056"/>
      <c r="CL179" s="21065"/>
      <c r="CM179" s="21056"/>
      <c r="CN179" s="21063"/>
      <c r="CO179" s="21063"/>
      <c r="CP179" s="21064" t="str">
        <f>CQ178&amp;"-"&amp;CS178</f>
        <v>46935.44810185185-47118.448379629626</v>
      </c>
      <c r="CQ179" s="21065"/>
      <c r="CR179" s="21056"/>
      <c r="CS179" s="21065"/>
      <c r="CT179" s="21056"/>
      <c r="CU179" s="21657"/>
      <c r="CV179" s="21654"/>
      <c r="CW179" s="21281"/>
      <c r="CX179" s="21633"/>
      <c r="CY179" s="21633" t="str">
        <f>IF(T179="","",T179)</f>
        <v/>
      </c>
      <c r="CZ179" s="21633"/>
      <c r="DA179" s="21633"/>
      <c r="DB179" s="21020">
        <v>0</v>
      </c>
    </row>
    <row s="55734" customFormat="1" customHeight="1" ht="21">
      <c r="A180" s="21621"/>
      <c r="B180" s="21621"/>
      <c r="C180" s="21621"/>
      <c r="D180" s="21621"/>
      <c r="E180" s="21622"/>
      <c r="F180" s="21622" t="s">
        <v>94</v>
      </c>
      <c r="G180" s="21622"/>
      <c r="H180" s="21622"/>
      <c r="I180" s="21647"/>
      <c r="J180" s="21638"/>
      <c r="K180" s="21621"/>
      <c r="L180" s="21624"/>
      <c r="M180" s="21639"/>
      <c r="N180" s="21639"/>
      <c r="O180" s="21639"/>
      <c r="P180" s="21640"/>
      <c r="Q180" s="21640"/>
      <c r="R180" s="21641"/>
      <c r="S180" s="24467"/>
      <c r="T180" s="24468" t="s">
        <v>622</v>
      </c>
      <c r="U180" s="24469"/>
      <c r="V180" s="24470"/>
      <c r="W180" s="24471"/>
      <c r="X180" s="24472"/>
      <c r="Y180" s="24473"/>
      <c r="Z180" s="24474"/>
      <c r="AA180" s="24475"/>
      <c r="AB180" s="24476"/>
      <c r="AC180" s="24477"/>
      <c r="AD180" s="24478"/>
      <c r="AE180" s="24479"/>
      <c r="AF180" s="24480"/>
      <c r="AG180" s="24481"/>
      <c r="AH180" s="24482"/>
      <c r="AI180" s="24483"/>
      <c r="AJ180" s="24484"/>
      <c r="AK180" s="24485"/>
      <c r="AL180" s="24486"/>
      <c r="AM180" s="24487"/>
      <c r="AN180" s="24488"/>
      <c r="AO180" s="24489"/>
      <c r="AP180" s="24490"/>
      <c r="AQ180" s="24491"/>
      <c r="AR180" s="24492"/>
      <c r="AS180" s="24493"/>
      <c r="AT180" s="24494"/>
      <c r="AU180" s="24495"/>
      <c r="AV180" s="24496"/>
      <c r="AW180" s="24497"/>
      <c r="AX180" s="24498"/>
      <c r="AY180" s="24499"/>
      <c r="AZ180" s="24500"/>
      <c r="BA180" s="24501"/>
      <c r="BB180" s="24502"/>
      <c r="BC180" s="24503"/>
      <c r="BD180" s="24504"/>
      <c r="BE180" s="24505"/>
      <c r="BF180" s="24506"/>
      <c r="BG180" s="24507"/>
      <c r="BH180" s="24508"/>
      <c r="BI180" s="24509"/>
      <c r="BJ180" s="24510"/>
      <c r="BK180" s="24511"/>
      <c r="BL180" s="24512"/>
      <c r="BM180" s="24513"/>
      <c r="BN180" s="24514"/>
      <c r="BO180" s="24515"/>
      <c r="BP180" s="24516"/>
      <c r="BQ180" s="24517"/>
      <c r="BR180" s="24518"/>
      <c r="BS180" s="24519"/>
      <c r="BT180" s="24520"/>
      <c r="BU180" s="24521"/>
      <c r="BV180" s="24522"/>
      <c r="BW180" s="24523"/>
      <c r="BX180" s="24524"/>
      <c r="BY180" s="24525"/>
      <c r="BZ180" s="24526"/>
      <c r="CA180" s="24527"/>
      <c r="CB180" s="24528"/>
      <c r="CC180" s="24529"/>
      <c r="CD180" s="24530"/>
      <c r="CE180" s="24531"/>
      <c r="CF180" s="24532"/>
      <c r="CG180" s="24533"/>
      <c r="CH180" s="24534"/>
      <c r="CI180" s="24535"/>
      <c r="CJ180" s="24536"/>
      <c r="CK180" s="24537"/>
      <c r="CL180" s="24538"/>
      <c r="CM180" s="24539"/>
      <c r="CN180" s="24540"/>
      <c r="CO180" s="24541"/>
      <c r="CP180" s="24542"/>
      <c r="CQ180" s="24543"/>
      <c r="CR180" s="24544"/>
      <c r="CS180" s="24545"/>
      <c r="CT180" s="24546"/>
      <c r="CU180" s="24547"/>
      <c r="CV180" s="21632" t="s">
        <v>623</v>
      </c>
      <c r="CW180" s="21281"/>
      <c r="CX180" s="21633"/>
      <c r="CY180" s="21633" t="str">
        <f>IF(T180="","",T180)</f>
        <v>Добавить значение признака дифференциации</v>
      </c>
      <c r="CZ180" s="21633"/>
      <c r="DA180" s="21633"/>
      <c r="DB180" s="21020">
        <v>0</v>
      </c>
    </row>
    <row s="55816" customFormat="1" customHeight="1" ht="23.25">
      <c r="A181" s="33106"/>
      <c r="B181" s="33106"/>
      <c r="C181" s="33106"/>
      <c r="D181" s="33106"/>
      <c r="E181" s="33107"/>
      <c r="F181" s="33107"/>
      <c r="G181" s="33107"/>
      <c r="H181" s="33107"/>
      <c r="I181" s="33108"/>
      <c r="J181" s="33109" t="str">
        <f>I176&amp;".2"</f>
        <v>1.7.1.1.2</v>
      </c>
      <c r="K181" s="33106"/>
      <c r="L181" s="33110" t="s">
        <v>545</v>
      </c>
      <c r="M181" s="33111"/>
      <c r="N181" s="33111"/>
      <c r="O181" s="33111"/>
      <c r="P181" s="33112"/>
      <c r="Q181" s="33113" t="s">
        <v>106</v>
      </c>
      <c r="R181" s="33114"/>
      <c r="S181" s="33115" t="str">
        <f>$J181</f>
        <v>1.7.1.1.2</v>
      </c>
      <c r="T181" s="33116" t="s">
        <v>546</v>
      </c>
      <c r="U181" s="33117"/>
      <c r="V181" s="33118"/>
      <c r="W181" s="33119"/>
      <c r="X181" s="33119"/>
      <c r="Y181" s="33119"/>
      <c r="Z181" s="33119"/>
      <c r="AA181" s="33119"/>
      <c r="AB181" s="33120"/>
      <c r="AC181" s="33118" t="s">
        <v>633</v>
      </c>
      <c r="AD181" s="33119"/>
      <c r="AE181" s="33119"/>
      <c r="AF181" s="33119"/>
      <c r="AG181" s="33119"/>
      <c r="AH181" s="33119"/>
      <c r="AI181" s="33119"/>
      <c r="AJ181" s="33118"/>
      <c r="AK181" s="33119"/>
      <c r="AL181" s="33119"/>
      <c r="AM181" s="33119"/>
      <c r="AN181" s="33119"/>
      <c r="AO181" s="33119"/>
      <c r="AP181" s="33120"/>
      <c r="AQ181" s="33118"/>
      <c r="AR181" s="33119"/>
      <c r="AS181" s="33119"/>
      <c r="AT181" s="33119"/>
      <c r="AU181" s="33119"/>
      <c r="AV181" s="33119"/>
      <c r="AW181" s="33120"/>
      <c r="AX181" s="33118"/>
      <c r="AY181" s="33119"/>
      <c r="AZ181" s="33119"/>
      <c r="BA181" s="33119"/>
      <c r="BB181" s="33119"/>
      <c r="BC181" s="33119"/>
      <c r="BD181" s="33120"/>
      <c r="BE181" s="33118"/>
      <c r="BF181" s="33119"/>
      <c r="BG181" s="33119"/>
      <c r="BH181" s="33119"/>
      <c r="BI181" s="33119"/>
      <c r="BJ181" s="33119"/>
      <c r="BK181" s="33120"/>
      <c r="BL181" s="33118"/>
      <c r="BM181" s="33119"/>
      <c r="BN181" s="33119"/>
      <c r="BO181" s="33119"/>
      <c r="BP181" s="33119"/>
      <c r="BQ181" s="33119"/>
      <c r="BR181" s="33120"/>
      <c r="BS181" s="33118"/>
      <c r="BT181" s="33119"/>
      <c r="BU181" s="33119"/>
      <c r="BV181" s="33119"/>
      <c r="BW181" s="33119"/>
      <c r="BX181" s="33119"/>
      <c r="BY181" s="33120"/>
      <c r="BZ181" s="33118"/>
      <c r="CA181" s="33119"/>
      <c r="CB181" s="33119"/>
      <c r="CC181" s="33119"/>
      <c r="CD181" s="33119"/>
      <c r="CE181" s="33119"/>
      <c r="CF181" s="33120"/>
      <c r="CG181" s="33118"/>
      <c r="CH181" s="33119"/>
      <c r="CI181" s="33119"/>
      <c r="CJ181" s="33119"/>
      <c r="CK181" s="33119"/>
      <c r="CL181" s="33119"/>
      <c r="CM181" s="33120"/>
      <c r="CN181" s="33118"/>
      <c r="CO181" s="33119"/>
      <c r="CP181" s="33119"/>
      <c r="CQ181" s="33119"/>
      <c r="CR181" s="33119"/>
      <c r="CS181" s="33119"/>
      <c r="CT181" s="33121"/>
      <c r="CU181" s="33120"/>
      <c r="CV181" s="33122" t="s">
        <v>621</v>
      </c>
      <c r="CW181" s="33123"/>
      <c r="CX181" s="33124"/>
      <c r="CY181" s="33124" t="str">
        <f>IF(T181="","",T181)</f>
        <v>Группа потребителей</v>
      </c>
      <c r="CZ181" s="33124"/>
      <c r="DA181" s="33124"/>
      <c r="DB181" s="33125">
        <v>0</v>
      </c>
    </row>
    <row s="55817" customFormat="1" customHeight="1" ht="23.25">
      <c r="A182" s="33106"/>
      <c r="B182" s="33106"/>
      <c r="C182" s="33106"/>
      <c r="D182" s="33106"/>
      <c r="E182" s="33107"/>
      <c r="F182" s="33107"/>
      <c r="G182" s="33107"/>
      <c r="H182" s="33107"/>
      <c r="I182" s="33108"/>
      <c r="J182" s="33108" t="str">
        <f>I176&amp;".1"</f>
        <v>1.7.1.1.1</v>
      </c>
      <c r="K182" s="33109" t="str">
        <f>J181&amp;".1"</f>
        <v>1.7.1.1.2.1</v>
      </c>
      <c r="L182" s="33110"/>
      <c r="M182" s="33111"/>
      <c r="N182" s="33111"/>
      <c r="O182" s="33111"/>
      <c r="P182" s="33112"/>
      <c r="Q182" s="33112"/>
      <c r="R182" s="33114">
        <v>1</v>
      </c>
      <c r="S182" s="33115" t="str">
        <f>$K182</f>
        <v>1.7.1.1.2.1</v>
      </c>
      <c r="T182" s="33127"/>
      <c r="U182" s="33117"/>
      <c r="V182" s="33128"/>
      <c r="W182" s="33128"/>
      <c r="X182" s="33129"/>
      <c r="Y182" s="33020"/>
      <c r="Z182" s="33130" t="s">
        <v>63</v>
      </c>
      <c r="AA182" s="33020"/>
      <c r="AB182" s="33130" t="s">
        <v>63</v>
      </c>
      <c r="AC182" s="33128">
        <v>26.66</v>
      </c>
      <c r="AD182" s="33128"/>
      <c r="AE182" s="33129"/>
      <c r="AF182" s="44875">
        <v>45292.43859953704</v>
      </c>
      <c r="AG182" s="33130" t="s">
        <v>63</v>
      </c>
      <c r="AH182" s="44876">
        <v>45473.43916666666</v>
      </c>
      <c r="AI182" s="33130" t="s">
        <v>63</v>
      </c>
      <c r="AJ182" s="33128">
        <v>34.66</v>
      </c>
      <c r="AK182" s="33128"/>
      <c r="AL182" s="33129"/>
      <c r="AM182" s="44875">
        <v>45474.43934027778</v>
      </c>
      <c r="AN182" s="33130" t="s">
        <v>63</v>
      </c>
      <c r="AO182" s="44875">
        <v>45657.43944444445</v>
      </c>
      <c r="AP182" s="33130" t="s">
        <v>63</v>
      </c>
      <c r="AQ182" s="33128">
        <v>34.66</v>
      </c>
      <c r="AR182" s="33128"/>
      <c r="AS182" s="33129"/>
      <c r="AT182" s="44875">
        <v>45658.43976851852</v>
      </c>
      <c r="AU182" s="33130" t="s">
        <v>63</v>
      </c>
      <c r="AV182" s="44875">
        <v>45838.43994212963</v>
      </c>
      <c r="AW182" s="33130" t="s">
        <v>63</v>
      </c>
      <c r="AX182" s="33128">
        <v>42.28</v>
      </c>
      <c r="AY182" s="33128"/>
      <c r="AZ182" s="33129"/>
      <c r="BA182" s="44875">
        <v>45839.440787037034</v>
      </c>
      <c r="BB182" s="33130" t="s">
        <v>63</v>
      </c>
      <c r="BC182" s="44875">
        <v>46022.441099537034</v>
      </c>
      <c r="BD182" s="33130" t="s">
        <v>63</v>
      </c>
      <c r="BE182" s="33128">
        <v>42.28</v>
      </c>
      <c r="BF182" s="33128"/>
      <c r="BG182" s="33129"/>
      <c r="BH182" s="44875">
        <v>46023.44136574074</v>
      </c>
      <c r="BI182" s="33130" t="s">
        <v>63</v>
      </c>
      <c r="BJ182" s="44875">
        <v>46203.44159722222</v>
      </c>
      <c r="BK182" s="33130" t="s">
        <v>63</v>
      </c>
      <c r="BL182" s="33128">
        <v>45.88</v>
      </c>
      <c r="BM182" s="33128"/>
      <c r="BN182" s="33129"/>
      <c r="BO182" s="44875">
        <v>46204.4441087963</v>
      </c>
      <c r="BP182" s="33130" t="s">
        <v>63</v>
      </c>
      <c r="BQ182" s="44875">
        <v>46387.44467592592</v>
      </c>
      <c r="BR182" s="33130" t="s">
        <v>63</v>
      </c>
      <c r="BS182" s="33128">
        <v>45.88</v>
      </c>
      <c r="BT182" s="33128"/>
      <c r="BU182" s="33129"/>
      <c r="BV182" s="44875">
        <v>46388.44510416667</v>
      </c>
      <c r="BW182" s="33130" t="s">
        <v>63</v>
      </c>
      <c r="BX182" s="44875">
        <v>46568.4453587963</v>
      </c>
      <c r="BY182" s="33130" t="s">
        <v>63</v>
      </c>
      <c r="BZ182" s="33128">
        <v>49.78</v>
      </c>
      <c r="CA182" s="33128"/>
      <c r="CB182" s="33129"/>
      <c r="CC182" s="44875">
        <v>46569.446064814816</v>
      </c>
      <c r="CD182" s="33130" t="s">
        <v>63</v>
      </c>
      <c r="CE182" s="44875">
        <v>46752.44636574074</v>
      </c>
      <c r="CF182" s="33130" t="s">
        <v>63</v>
      </c>
      <c r="CG182" s="33128">
        <v>49.78</v>
      </c>
      <c r="CH182" s="33128"/>
      <c r="CI182" s="33129"/>
      <c r="CJ182" s="44875">
        <v>46753.447060185186</v>
      </c>
      <c r="CK182" s="33130" t="s">
        <v>63</v>
      </c>
      <c r="CL182" s="44875">
        <v>46934.447384259256</v>
      </c>
      <c r="CM182" s="33130" t="s">
        <v>63</v>
      </c>
      <c r="CN182" s="33128">
        <v>56.07</v>
      </c>
      <c r="CO182" s="33128"/>
      <c r="CP182" s="33129"/>
      <c r="CQ182" s="44875">
        <v>46935.448217592595</v>
      </c>
      <c r="CR182" s="33130" t="s">
        <v>63</v>
      </c>
      <c r="CS182" s="44875">
        <v>47118.44847222222</v>
      </c>
      <c r="CT182" s="33131" t="s">
        <v>63</v>
      </c>
      <c r="CU182" s="33132"/>
      <c r="CV182"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82" s="33123">
        <f>STRCHECKDATE(V183:CU183)</f>
      </c>
      <c r="CX182" s="33124"/>
      <c r="CY182" s="33124" t="str">
        <f>IF(T182="","",T182)</f>
        <v/>
      </c>
      <c r="CZ182" s="33124"/>
      <c r="DA182" s="33124"/>
      <c r="DB182" s="33125">
        <v>0</v>
      </c>
    </row>
    <row s="55818" customFormat="1" customHeight="1" ht="14.25">
      <c r="A183" s="33106"/>
      <c r="B183" s="33106"/>
      <c r="C183" s="33106"/>
      <c r="D183" s="33106"/>
      <c r="E183" s="33107"/>
      <c r="F183" s="33107"/>
      <c r="G183" s="33107"/>
      <c r="H183" s="33107"/>
      <c r="I183" s="33108"/>
      <c r="J183" s="33108" t="str">
        <f>I176&amp;".1"</f>
        <v>1.7.1.1.1</v>
      </c>
      <c r="K183" s="33109"/>
      <c r="L183" s="33110"/>
      <c r="M183" s="33111"/>
      <c r="N183" s="33111"/>
      <c r="O183" s="33111"/>
      <c r="P183" s="33112"/>
      <c r="Q183" s="33112"/>
      <c r="R183" s="33114"/>
      <c r="S183" s="33135"/>
      <c r="T183" s="33117"/>
      <c r="U183" s="33117"/>
      <c r="V183" s="33136"/>
      <c r="W183" s="33136"/>
      <c r="X183" s="33137" t="str">
        <f>Y182&amp;"-"&amp;AA182</f>
        <v>-</v>
      </c>
      <c r="Y183" s="33138"/>
      <c r="Z183" s="33130"/>
      <c r="AA183" s="33138"/>
      <c r="AB183" s="33130"/>
      <c r="AC183" s="33136"/>
      <c r="AD183" s="33136"/>
      <c r="AE183" s="33137" t="str">
        <f>AF182&amp;"-"&amp;AH182</f>
        <v>45292.43859953704-45473.43916666666</v>
      </c>
      <c r="AF183" s="33138"/>
      <c r="AG183" s="33130"/>
      <c r="AH183" s="33139"/>
      <c r="AI183" s="33130"/>
      <c r="AJ183" s="33136"/>
      <c r="AK183" s="33136"/>
      <c r="AL183" s="33137" t="str">
        <f>AM182&amp;"-"&amp;AO182</f>
        <v>45474.43934027778-45657.43944444445</v>
      </c>
      <c r="AM183" s="33138"/>
      <c r="AN183" s="33130"/>
      <c r="AO183" s="33138"/>
      <c r="AP183" s="33130"/>
      <c r="AQ183" s="33136"/>
      <c r="AR183" s="33136"/>
      <c r="AS183" s="33137" t="str">
        <f>AT182&amp;"-"&amp;AV182</f>
        <v>45658.43976851852-45838.43994212963</v>
      </c>
      <c r="AT183" s="33138"/>
      <c r="AU183" s="33130"/>
      <c r="AV183" s="33138"/>
      <c r="AW183" s="33130"/>
      <c r="AX183" s="33136"/>
      <c r="AY183" s="33136"/>
      <c r="AZ183" s="33137" t="str">
        <f>BA182&amp;"-"&amp;BC182</f>
        <v>45839.440787037034-46022.441099537034</v>
      </c>
      <c r="BA183" s="33138"/>
      <c r="BB183" s="33130"/>
      <c r="BC183" s="33138"/>
      <c r="BD183" s="33130"/>
      <c r="BE183" s="33136"/>
      <c r="BF183" s="33136"/>
      <c r="BG183" s="33137" t="str">
        <f>BH182&amp;"-"&amp;BJ182</f>
        <v>46023.44136574074-46203.44159722222</v>
      </c>
      <c r="BH183" s="33138"/>
      <c r="BI183" s="33130"/>
      <c r="BJ183" s="33138"/>
      <c r="BK183" s="33130"/>
      <c r="BL183" s="33136"/>
      <c r="BM183" s="33136"/>
      <c r="BN183" s="33137" t="str">
        <f>BO182&amp;"-"&amp;BQ182</f>
        <v>46204.4441087963-46387.44467592592</v>
      </c>
      <c r="BO183" s="33138"/>
      <c r="BP183" s="33130"/>
      <c r="BQ183" s="33138"/>
      <c r="BR183" s="33130"/>
      <c r="BS183" s="33136"/>
      <c r="BT183" s="33136"/>
      <c r="BU183" s="33137" t="str">
        <f>BV182&amp;"-"&amp;BX182</f>
        <v>46388.44510416667-46568.4453587963</v>
      </c>
      <c r="BV183" s="33138"/>
      <c r="BW183" s="33130"/>
      <c r="BX183" s="33138"/>
      <c r="BY183" s="33130"/>
      <c r="BZ183" s="33136"/>
      <c r="CA183" s="33136"/>
      <c r="CB183" s="33137" t="str">
        <f>CC182&amp;"-"&amp;CE182</f>
        <v>46569.446064814816-46752.44636574074</v>
      </c>
      <c r="CC183" s="33138"/>
      <c r="CD183" s="33130"/>
      <c r="CE183" s="33138"/>
      <c r="CF183" s="33130"/>
      <c r="CG183" s="33136"/>
      <c r="CH183" s="33136"/>
      <c r="CI183" s="33137" t="str">
        <f>CJ182&amp;"-"&amp;CL182</f>
        <v>46753.447060185186-46934.447384259256</v>
      </c>
      <c r="CJ183" s="33138"/>
      <c r="CK183" s="33130"/>
      <c r="CL183" s="33138"/>
      <c r="CM183" s="33130"/>
      <c r="CN183" s="33136"/>
      <c r="CO183" s="33136"/>
      <c r="CP183" s="33137" t="str">
        <f>CQ182&amp;"-"&amp;CS182</f>
        <v>46935.448217592595-47118.44847222222</v>
      </c>
      <c r="CQ183" s="33138"/>
      <c r="CR183" s="33130"/>
      <c r="CS183" s="33138"/>
      <c r="CT183" s="33131"/>
      <c r="CU183" s="33140"/>
      <c r="CV183" s="33133"/>
      <c r="CW183" s="33123"/>
      <c r="CX183" s="33124"/>
      <c r="CY183" s="33124" t="str">
        <f>IF(T183="","",T183)</f>
        <v/>
      </c>
      <c r="CZ183" s="33124"/>
      <c r="DA183" s="33124"/>
      <c r="DB183" s="33125">
        <v>0</v>
      </c>
    </row>
    <row s="55819" customFormat="1" customHeight="1" ht="21">
      <c r="A184" s="33106"/>
      <c r="B184" s="33106"/>
      <c r="C184" s="33106"/>
      <c r="D184" s="33106"/>
      <c r="E184" s="33107"/>
      <c r="F184" s="33107"/>
      <c r="G184" s="33107"/>
      <c r="H184" s="33107"/>
      <c r="I184" s="33108"/>
      <c r="J184" s="33109" t="str">
        <f>I176&amp;".1"</f>
        <v>1.7.1.1.1</v>
      </c>
      <c r="K184" s="33106"/>
      <c r="L184" s="33110"/>
      <c r="M184" s="33111"/>
      <c r="N184" s="33111"/>
      <c r="O184" s="33111"/>
      <c r="P184" s="33112"/>
      <c r="Q184" s="33112"/>
      <c r="R184" s="33142"/>
      <c r="S184" s="34162"/>
      <c r="T184" s="34163" t="s">
        <v>622</v>
      </c>
      <c r="U184" s="34164"/>
      <c r="V184" s="34165"/>
      <c r="W184" s="34166"/>
      <c r="X184" s="34167"/>
      <c r="Y184" s="34168"/>
      <c r="Z184" s="34169"/>
      <c r="AA184" s="34170"/>
      <c r="AB184" s="34171"/>
      <c r="AC184" s="34172"/>
      <c r="AD184" s="34173"/>
      <c r="AE184" s="34174"/>
      <c r="AF184" s="34175"/>
      <c r="AG184" s="34176"/>
      <c r="AH184" s="34177"/>
      <c r="AI184" s="34178"/>
      <c r="AJ184" s="34179"/>
      <c r="AK184" s="34180"/>
      <c r="AL184" s="34181"/>
      <c r="AM184" s="34182"/>
      <c r="AN184" s="34183"/>
      <c r="AO184" s="34184"/>
      <c r="AP184" s="34185"/>
      <c r="AQ184" s="34186"/>
      <c r="AR184" s="34187"/>
      <c r="AS184" s="34188"/>
      <c r="AT184" s="34189"/>
      <c r="AU184" s="34190"/>
      <c r="AV184" s="34191"/>
      <c r="AW184" s="34192"/>
      <c r="AX184" s="34193"/>
      <c r="AY184" s="34194"/>
      <c r="AZ184" s="34195"/>
      <c r="BA184" s="34196"/>
      <c r="BB184" s="34197"/>
      <c r="BC184" s="34198"/>
      <c r="BD184" s="34199"/>
      <c r="BE184" s="34200"/>
      <c r="BF184" s="34201"/>
      <c r="BG184" s="34202"/>
      <c r="BH184" s="34203"/>
      <c r="BI184" s="34204"/>
      <c r="BJ184" s="34205"/>
      <c r="BK184" s="34206"/>
      <c r="BL184" s="34207"/>
      <c r="BM184" s="34208"/>
      <c r="BN184" s="34209"/>
      <c r="BO184" s="34210"/>
      <c r="BP184" s="34211"/>
      <c r="BQ184" s="34212"/>
      <c r="BR184" s="34213"/>
      <c r="BS184" s="34214"/>
      <c r="BT184" s="34215"/>
      <c r="BU184" s="34216"/>
      <c r="BV184" s="34217"/>
      <c r="BW184" s="34218"/>
      <c r="BX184" s="34219"/>
      <c r="BY184" s="34220"/>
      <c r="BZ184" s="34221"/>
      <c r="CA184" s="34222"/>
      <c r="CB184" s="34223"/>
      <c r="CC184" s="34224"/>
      <c r="CD184" s="34225"/>
      <c r="CE184" s="34226"/>
      <c r="CF184" s="34227"/>
      <c r="CG184" s="34228"/>
      <c r="CH184" s="34229"/>
      <c r="CI184" s="34230"/>
      <c r="CJ184" s="34231"/>
      <c r="CK184" s="34232"/>
      <c r="CL184" s="34233"/>
      <c r="CM184" s="34234"/>
      <c r="CN184" s="34235"/>
      <c r="CO184" s="34236"/>
      <c r="CP184" s="34237"/>
      <c r="CQ184" s="34238"/>
      <c r="CR184" s="34239"/>
      <c r="CS184" s="34240"/>
      <c r="CT184" s="34241"/>
      <c r="CU184" s="34242"/>
      <c r="CV184" s="33224" t="s">
        <v>623</v>
      </c>
      <c r="CW184" s="33123"/>
      <c r="CX184" s="33124"/>
      <c r="CY184" s="33124" t="str">
        <f>IF(T184="","",T184)</f>
        <v>Добавить значение признака дифференциации</v>
      </c>
      <c r="CZ184" s="33124"/>
      <c r="DA184" s="33124"/>
      <c r="DB184" s="33125">
        <v>0</v>
      </c>
    </row>
    <row s="55901" customFormat="1" customHeight="1" ht="21">
      <c r="A185" s="21621"/>
      <c r="B185" s="21621"/>
      <c r="C185" s="21621"/>
      <c r="D185" s="21621"/>
      <c r="E185" s="21622"/>
      <c r="F185" s="21622" t="s">
        <v>94</v>
      </c>
      <c r="G185" s="21622"/>
      <c r="H185" s="21622"/>
      <c r="I185" s="21638"/>
      <c r="J185" s="21621"/>
      <c r="K185" s="21621"/>
      <c r="L185" s="21624"/>
      <c r="M185" s="21639"/>
      <c r="N185" s="21639"/>
      <c r="O185" s="21639"/>
      <c r="P185" s="21640"/>
      <c r="Q185" s="21640"/>
      <c r="R185" s="21641"/>
      <c r="S185" s="24549"/>
      <c r="T185" s="24550" t="s">
        <v>551</v>
      </c>
      <c r="U185" s="24551"/>
      <c r="V185" s="24552"/>
      <c r="W185" s="24553"/>
      <c r="X185" s="24554"/>
      <c r="Y185" s="24555"/>
      <c r="Z185" s="24556"/>
      <c r="AA185" s="24557"/>
      <c r="AB185" s="24558"/>
      <c r="AC185" s="24559"/>
      <c r="AD185" s="24560"/>
      <c r="AE185" s="24561"/>
      <c r="AF185" s="24562"/>
      <c r="AG185" s="24563"/>
      <c r="AH185" s="24564"/>
      <c r="AI185" s="24565"/>
      <c r="AJ185" s="24566"/>
      <c r="AK185" s="24567"/>
      <c r="AL185" s="24568"/>
      <c r="AM185" s="24569"/>
      <c r="AN185" s="24570"/>
      <c r="AO185" s="24571"/>
      <c r="AP185" s="24572"/>
      <c r="AQ185" s="24573"/>
      <c r="AR185" s="24574"/>
      <c r="AS185" s="24575"/>
      <c r="AT185" s="24576"/>
      <c r="AU185" s="24577"/>
      <c r="AV185" s="24578"/>
      <c r="AW185" s="24579"/>
      <c r="AX185" s="24580"/>
      <c r="AY185" s="24581"/>
      <c r="AZ185" s="24582"/>
      <c r="BA185" s="24583"/>
      <c r="BB185" s="24584"/>
      <c r="BC185" s="24585"/>
      <c r="BD185" s="24586"/>
      <c r="BE185" s="24587"/>
      <c r="BF185" s="24588"/>
      <c r="BG185" s="24589"/>
      <c r="BH185" s="24590"/>
      <c r="BI185" s="24591"/>
      <c r="BJ185" s="24592"/>
      <c r="BK185" s="24593"/>
      <c r="BL185" s="24594"/>
      <c r="BM185" s="24595"/>
      <c r="BN185" s="24596"/>
      <c r="BO185" s="24597"/>
      <c r="BP185" s="24598"/>
      <c r="BQ185" s="24599"/>
      <c r="BR185" s="24600"/>
      <c r="BS185" s="24601"/>
      <c r="BT185" s="24602"/>
      <c r="BU185" s="24603"/>
      <c r="BV185" s="24604"/>
      <c r="BW185" s="24605"/>
      <c r="BX185" s="24606"/>
      <c r="BY185" s="24607"/>
      <c r="BZ185" s="24608"/>
      <c r="CA185" s="24609"/>
      <c r="CB185" s="24610"/>
      <c r="CC185" s="24611"/>
      <c r="CD185" s="24612"/>
      <c r="CE185" s="24613"/>
      <c r="CF185" s="24614"/>
      <c r="CG185" s="24615"/>
      <c r="CH185" s="24616"/>
      <c r="CI185" s="24617"/>
      <c r="CJ185" s="24618"/>
      <c r="CK185" s="24619"/>
      <c r="CL185" s="24620"/>
      <c r="CM185" s="24621"/>
      <c r="CN185" s="24622"/>
      <c r="CO185" s="24623"/>
      <c r="CP185" s="24624"/>
      <c r="CQ185" s="24625"/>
      <c r="CR185" s="24626"/>
      <c r="CS185" s="24627"/>
      <c r="CT185" s="24628"/>
      <c r="CU185" s="24629"/>
      <c r="CV185" s="24630"/>
      <c r="CW185" s="21281"/>
      <c r="CX185" s="21633"/>
      <c r="CY185" s="21633" t="str">
        <f>IF(T185="","",T185)</f>
        <v>Добавить группу потребителей</v>
      </c>
      <c r="CZ185" s="21633"/>
      <c r="DA185" s="21633"/>
      <c r="DB185" s="21020">
        <v>0</v>
      </c>
    </row>
    <row s="55984" customFormat="1" customHeight="1" ht="14.25">
      <c r="A186" s="21621"/>
      <c r="B186" s="21621"/>
      <c r="C186" s="21621"/>
      <c r="D186" s="21621"/>
      <c r="E186" s="21622"/>
      <c r="F186" s="21622" t="s">
        <v>94</v>
      </c>
      <c r="G186" s="21622"/>
      <c r="H186" s="21623"/>
      <c r="I186" s="21621"/>
      <c r="J186" s="21621"/>
      <c r="K186" s="21621"/>
      <c r="L186" s="21624"/>
      <c r="M186" s="21625"/>
      <c r="N186" s="21625"/>
      <c r="O186" s="21264"/>
      <c r="P186" s="21910"/>
      <c r="Q186" s="21911"/>
      <c r="R186" s="21912"/>
      <c r="S186" s="24632"/>
      <c r="T186" s="24633" t="s">
        <v>624</v>
      </c>
      <c r="U186" s="24634"/>
      <c r="V186" s="24635"/>
      <c r="W186" s="24636"/>
      <c r="X186" s="24637"/>
      <c r="Y186" s="24638"/>
      <c r="Z186" s="24639"/>
      <c r="AA186" s="24640"/>
      <c r="AB186" s="24641"/>
      <c r="AC186" s="24642"/>
      <c r="AD186" s="24643"/>
      <c r="AE186" s="24644"/>
      <c r="AF186" s="24645"/>
      <c r="AG186" s="24646"/>
      <c r="AH186" s="24647"/>
      <c r="AI186" s="24648"/>
      <c r="AJ186" s="24649"/>
      <c r="AK186" s="24650"/>
      <c r="AL186" s="24651"/>
      <c r="AM186" s="24652"/>
      <c r="AN186" s="24653"/>
      <c r="AO186" s="24654"/>
      <c r="AP186" s="24655"/>
      <c r="AQ186" s="24656"/>
      <c r="AR186" s="24657"/>
      <c r="AS186" s="24658"/>
      <c r="AT186" s="24659"/>
      <c r="AU186" s="24660"/>
      <c r="AV186" s="24661"/>
      <c r="AW186" s="24662"/>
      <c r="AX186" s="24663"/>
      <c r="AY186" s="24664"/>
      <c r="AZ186" s="24665"/>
      <c r="BA186" s="24666"/>
      <c r="BB186" s="24667"/>
      <c r="BC186" s="24668"/>
      <c r="BD186" s="24669"/>
      <c r="BE186" s="24670"/>
      <c r="BF186" s="24671"/>
      <c r="BG186" s="24672"/>
      <c r="BH186" s="24673"/>
      <c r="BI186" s="24674"/>
      <c r="BJ186" s="24675"/>
      <c r="BK186" s="24676"/>
      <c r="BL186" s="24677"/>
      <c r="BM186" s="24678"/>
      <c r="BN186" s="24679"/>
      <c r="BO186" s="24680"/>
      <c r="BP186" s="24681"/>
      <c r="BQ186" s="24682"/>
      <c r="BR186" s="24683"/>
      <c r="BS186" s="24684"/>
      <c r="BT186" s="24685"/>
      <c r="BU186" s="24686"/>
      <c r="BV186" s="24687"/>
      <c r="BW186" s="24688"/>
      <c r="BX186" s="24689"/>
      <c r="BY186" s="24690"/>
      <c r="BZ186" s="24691"/>
      <c r="CA186" s="24692"/>
      <c r="CB186" s="24693"/>
      <c r="CC186" s="24694"/>
      <c r="CD186" s="24695"/>
      <c r="CE186" s="24696"/>
      <c r="CF186" s="24697"/>
      <c r="CG186" s="24698"/>
      <c r="CH186" s="24699"/>
      <c r="CI186" s="24700"/>
      <c r="CJ186" s="24701"/>
      <c r="CK186" s="24702"/>
      <c r="CL186" s="24703"/>
      <c r="CM186" s="24704"/>
      <c r="CN186" s="24705"/>
      <c r="CO186" s="24706"/>
      <c r="CP186" s="24707"/>
      <c r="CQ186" s="24708"/>
      <c r="CR186" s="24709"/>
      <c r="CS186" s="24710"/>
      <c r="CT186" s="24711"/>
      <c r="CU186" s="24712"/>
      <c r="CV186" s="24713"/>
      <c r="CW186" s="21281"/>
      <c r="CX186" s="21633"/>
      <c r="CY186" s="21633" t="str">
        <f>IF(T186="","",T186)</f>
        <v>Добавить наименование признака дифференциации</v>
      </c>
      <c r="CZ186" s="21633"/>
      <c r="DA186" s="21633"/>
      <c r="DB186" s="21020">
        <v>0</v>
      </c>
    </row>
    <row s="56067" customFormat="1" customHeight="1" ht="14.25">
      <c r="A187" s="21996"/>
      <c r="B187" s="21996"/>
      <c r="C187" s="21996"/>
      <c r="D187" s="21996"/>
      <c r="E187" s="21622"/>
      <c r="F187" s="21623" t="s">
        <v>94</v>
      </c>
      <c r="G187" s="21996"/>
      <c r="H187" s="21996"/>
      <c r="I187" s="21996"/>
      <c r="J187" s="21996"/>
      <c r="K187" s="21996"/>
      <c r="L187" s="21997"/>
      <c r="M187" s="21998"/>
      <c r="N187" s="21998"/>
      <c r="O187" s="21281"/>
      <c r="P187" s="21999"/>
      <c r="Q187" s="22000"/>
      <c r="R187" s="21999"/>
      <c r="S187" s="22001"/>
      <c r="T187" s="22002" t="s">
        <v>290</v>
      </c>
      <c r="U187" s="21260"/>
      <c r="V187" s="21260"/>
      <c r="W187" s="21260"/>
      <c r="X187" s="21260"/>
      <c r="Y187" s="21260"/>
      <c r="Z187" s="21260"/>
      <c r="AA187" s="21260"/>
      <c r="AB187" s="21260"/>
      <c r="AC187" s="21260"/>
      <c r="AD187" s="21260"/>
      <c r="AE187" s="21260"/>
      <c r="AF187" s="21260"/>
      <c r="AG187" s="21260"/>
      <c r="AH187" s="21260"/>
      <c r="AI187" s="21260"/>
      <c r="AJ187" s="21260"/>
      <c r="AK187" s="21260"/>
      <c r="AL187" s="21260"/>
      <c r="AM187" s="21260"/>
      <c r="AN187" s="21260"/>
      <c r="AO187" s="21260"/>
      <c r="AP187" s="21260"/>
      <c r="AQ187" s="21260"/>
      <c r="AR187" s="21260"/>
      <c r="AS187" s="21260"/>
      <c r="AT187" s="21260"/>
      <c r="AU187" s="21260"/>
      <c r="AV187" s="21260"/>
      <c r="AW187" s="21260"/>
      <c r="AX187" s="21260"/>
      <c r="AY187" s="21260"/>
      <c r="AZ187" s="21260"/>
      <c r="BA187" s="21260"/>
      <c r="BB187" s="21260"/>
      <c r="BC187" s="21260"/>
      <c r="BD187" s="21260"/>
      <c r="BE187" s="21260"/>
      <c r="BF187" s="21260"/>
      <c r="BG187" s="21260"/>
      <c r="BH187" s="21260"/>
      <c r="BI187" s="21260"/>
      <c r="BJ187" s="21260"/>
      <c r="BK187" s="21260"/>
      <c r="BL187" s="21260"/>
      <c r="BM187" s="21260"/>
      <c r="BN187" s="21260"/>
      <c r="BO187" s="21260"/>
      <c r="BP187" s="21260"/>
      <c r="BQ187" s="21260"/>
      <c r="BR187" s="21260"/>
      <c r="BS187" s="21260"/>
      <c r="BT187" s="21260"/>
      <c r="BU187" s="21260"/>
      <c r="BV187" s="21260"/>
      <c r="BW187" s="21260"/>
      <c r="BX187" s="21260"/>
      <c r="BY187" s="21260"/>
      <c r="BZ187" s="21260"/>
      <c r="CA187" s="21260"/>
      <c r="CB187" s="21260"/>
      <c r="CC187" s="21260"/>
      <c r="CD187" s="21260"/>
      <c r="CE187" s="21260"/>
      <c r="CF187" s="21260"/>
      <c r="CG187" s="21260"/>
      <c r="CH187" s="21260"/>
      <c r="CI187" s="21260"/>
      <c r="CJ187" s="21260"/>
      <c r="CK187" s="21260"/>
      <c r="CL187" s="21260"/>
      <c r="CM187" s="21260"/>
      <c r="CN187" s="21260"/>
      <c r="CO187" s="21260"/>
      <c r="CP187" s="21260"/>
      <c r="CQ187" s="21260"/>
      <c r="CR187" s="21260"/>
      <c r="CS187" s="21260"/>
      <c r="CT187" s="21260"/>
      <c r="CU187" s="21260"/>
      <c r="CV187" s="21260"/>
      <c r="CW187" s="21281"/>
      <c r="CX187" s="21633"/>
      <c r="CY187" s="21633" t="str">
        <f>IF(T187="","",T187)</f>
        <v>Добавить централизованную систему для дифференциации</v>
      </c>
      <c r="CZ187" s="21633"/>
      <c r="DA187" s="21633"/>
      <c r="DB187" s="21281">
        <v>0</v>
      </c>
    </row>
    <row s="56068" customFormat="1" customHeight="1" ht="23.25">
      <c r="A188" s="21621"/>
      <c r="B188" s="21621" t="s">
        <v>328</v>
      </c>
      <c r="C188" s="21621"/>
      <c r="D188" s="21621"/>
      <c r="E188" s="21622"/>
      <c r="F188" s="21623" t="s">
        <v>135</v>
      </c>
      <c r="G188" s="21621"/>
      <c r="H188" s="21621"/>
      <c r="I188" s="21621"/>
      <c r="J188" s="21621"/>
      <c r="K188" s="21621"/>
      <c r="L188" s="21624"/>
      <c r="M188" s="21625"/>
      <c r="N188" s="21625"/>
      <c r="O188" s="21625"/>
      <c r="P188" s="21626"/>
      <c r="Q188" s="21627"/>
      <c r="R188" s="21628"/>
      <c r="S188" s="21629" t="str">
        <f>INDEX(PT_DIFFERENTIATION_NUM_TER,MATCH(B188,PT_DIFFERENTIATION_TER_ID,0))</f>
        <v>1.8</v>
      </c>
      <c r="T188" s="21630" t="s">
        <v>536</v>
      </c>
      <c r="U188" s="21631"/>
      <c r="V188" s="21025"/>
      <c r="W188" s="21026"/>
      <c r="X188" s="21026"/>
      <c r="Y188" s="21026"/>
      <c r="Z188" s="21026"/>
      <c r="AA188" s="21026"/>
      <c r="AB188" s="21027"/>
      <c r="AC188" s="21025" t="str">
        <f>INDEX(PT_DIFFERENTIATION_TER,MATCH(B188,PT_DIFFERENTIATION_TER_ID,0))</f>
        <v>Территория 8</v>
      </c>
      <c r="AD188" s="21026"/>
      <c r="AE188" s="21026"/>
      <c r="AF188" s="21026"/>
      <c r="AG188" s="21026"/>
      <c r="AH188" s="21026"/>
      <c r="AI188" s="21026"/>
      <c r="AJ188" s="21025"/>
      <c r="AK188" s="21026"/>
      <c r="AL188" s="21026"/>
      <c r="AM188" s="21026"/>
      <c r="AN188" s="21026"/>
      <c r="AO188" s="21026"/>
      <c r="AP188" s="21027"/>
      <c r="AQ188" s="21025"/>
      <c r="AR188" s="21026"/>
      <c r="AS188" s="21026"/>
      <c r="AT188" s="21026"/>
      <c r="AU188" s="21026"/>
      <c r="AV188" s="21026"/>
      <c r="AW188" s="21027"/>
      <c r="AX188" s="21025"/>
      <c r="AY188" s="21026"/>
      <c r="AZ188" s="21026"/>
      <c r="BA188" s="21026"/>
      <c r="BB188" s="21026"/>
      <c r="BC188" s="21026"/>
      <c r="BD188" s="21027"/>
      <c r="BE188" s="21025"/>
      <c r="BF188" s="21026"/>
      <c r="BG188" s="21026"/>
      <c r="BH188" s="21026"/>
      <c r="BI188" s="21026"/>
      <c r="BJ188" s="21026"/>
      <c r="BK188" s="21027"/>
      <c r="BL188" s="21025"/>
      <c r="BM188" s="21026"/>
      <c r="BN188" s="21026"/>
      <c r="BO188" s="21026"/>
      <c r="BP188" s="21026"/>
      <c r="BQ188" s="21026"/>
      <c r="BR188" s="21027"/>
      <c r="BS188" s="21025"/>
      <c r="BT188" s="21026"/>
      <c r="BU188" s="21026"/>
      <c r="BV188" s="21026"/>
      <c r="BW188" s="21026"/>
      <c r="BX188" s="21026"/>
      <c r="BY188" s="21027"/>
      <c r="BZ188" s="21025"/>
      <c r="CA188" s="21026"/>
      <c r="CB188" s="21026"/>
      <c r="CC188" s="21026"/>
      <c r="CD188" s="21026"/>
      <c r="CE188" s="21026"/>
      <c r="CF188" s="21027"/>
      <c r="CG188" s="21025"/>
      <c r="CH188" s="21026"/>
      <c r="CI188" s="21026"/>
      <c r="CJ188" s="21026"/>
      <c r="CK188" s="21026"/>
      <c r="CL188" s="21026"/>
      <c r="CM188" s="21027"/>
      <c r="CN188" s="21025"/>
      <c r="CO188" s="21026"/>
      <c r="CP188" s="21026"/>
      <c r="CQ188" s="21026"/>
      <c r="CR188" s="21026"/>
      <c r="CS188" s="21026"/>
      <c r="CT188" s="21027"/>
      <c r="CU188" s="21027"/>
      <c r="CV188" s="21632" t="s">
        <v>537</v>
      </c>
      <c r="CW188" s="21281"/>
      <c r="CX188" s="21633"/>
      <c r="CY188" s="21633" t="str">
        <f>IF(T188="","",T188)</f>
        <v>Территория действия тарифа</v>
      </c>
      <c r="CZ188" s="21633"/>
      <c r="DA188" s="21633"/>
      <c r="DB188" s="21020">
        <v>0</v>
      </c>
    </row>
    <row s="56069" customFormat="1" customHeight="1" ht="23.25">
      <c r="A189" s="21621"/>
      <c r="B189" s="21621"/>
      <c r="C189" s="21621" t="s">
        <v>329</v>
      </c>
      <c r="D189" s="21621"/>
      <c r="E189" s="21622"/>
      <c r="F189" s="21622" t="s">
        <v>95</v>
      </c>
      <c r="G189" s="21623">
        <v>1</v>
      </c>
      <c r="H189" s="21621"/>
      <c r="I189" s="21621"/>
      <c r="J189" s="21621"/>
      <c r="K189" s="21621"/>
      <c r="L189" s="21624"/>
      <c r="M189" s="21625"/>
      <c r="N189" s="21625"/>
      <c r="O189" s="21625"/>
      <c r="P189" s="21635"/>
      <c r="Q189" s="21627"/>
      <c r="R189" s="21628"/>
      <c r="S189" s="21629" t="str">
        <f>INDEX(PT_DIFFERENTIATION_NUM_CS,MATCH(C189,PT_DIFFERENTIATION_CS_ID,0))</f>
        <v>1.8.1</v>
      </c>
      <c r="T189" s="21636" t="s">
        <v>617</v>
      </c>
      <c r="U189" s="21631"/>
      <c r="V189" s="21025"/>
      <c r="W189" s="21026"/>
      <c r="X189" s="21026"/>
      <c r="Y189" s="21026"/>
      <c r="Z189" s="21026"/>
      <c r="AA189" s="21026"/>
      <c r="AB189" s="21027"/>
      <c r="AC189" s="21025" t="str">
        <f>INDEX(PT_DIFFERENTIATION_CS,MATCH(C189,PT_DIFFERENTIATION_CS_ID,0))</f>
        <v>с. Снегуровка, с. Васиановка, с. Абражевка</v>
      </c>
      <c r="AD189" s="21026"/>
      <c r="AE189" s="21026"/>
      <c r="AF189" s="21026"/>
      <c r="AG189" s="21026"/>
      <c r="AH189" s="21026"/>
      <c r="AI189" s="21026"/>
      <c r="AJ189" s="21025"/>
      <c r="AK189" s="21026"/>
      <c r="AL189" s="21026"/>
      <c r="AM189" s="21026"/>
      <c r="AN189" s="21026"/>
      <c r="AO189" s="21026"/>
      <c r="AP189" s="21027"/>
      <c r="AQ189" s="21025"/>
      <c r="AR189" s="21026"/>
      <c r="AS189" s="21026"/>
      <c r="AT189" s="21026"/>
      <c r="AU189" s="21026"/>
      <c r="AV189" s="21026"/>
      <c r="AW189" s="21027"/>
      <c r="AX189" s="21025"/>
      <c r="AY189" s="21026"/>
      <c r="AZ189" s="21026"/>
      <c r="BA189" s="21026"/>
      <c r="BB189" s="21026"/>
      <c r="BC189" s="21026"/>
      <c r="BD189" s="21027"/>
      <c r="BE189" s="21025"/>
      <c r="BF189" s="21026"/>
      <c r="BG189" s="21026"/>
      <c r="BH189" s="21026"/>
      <c r="BI189" s="21026"/>
      <c r="BJ189" s="21026"/>
      <c r="BK189" s="21027"/>
      <c r="BL189" s="21025"/>
      <c r="BM189" s="21026"/>
      <c r="BN189" s="21026"/>
      <c r="BO189" s="21026"/>
      <c r="BP189" s="21026"/>
      <c r="BQ189" s="21026"/>
      <c r="BR189" s="21027"/>
      <c r="BS189" s="21025"/>
      <c r="BT189" s="21026"/>
      <c r="BU189" s="21026"/>
      <c r="BV189" s="21026"/>
      <c r="BW189" s="21026"/>
      <c r="BX189" s="21026"/>
      <c r="BY189" s="21027"/>
      <c r="BZ189" s="21025"/>
      <c r="CA189" s="21026"/>
      <c r="CB189" s="21026"/>
      <c r="CC189" s="21026"/>
      <c r="CD189" s="21026"/>
      <c r="CE189" s="21026"/>
      <c r="CF189" s="21027"/>
      <c r="CG189" s="21025"/>
      <c r="CH189" s="21026"/>
      <c r="CI189" s="21026"/>
      <c r="CJ189" s="21026"/>
      <c r="CK189" s="21026"/>
      <c r="CL189" s="21026"/>
      <c r="CM189" s="21027"/>
      <c r="CN189" s="21025"/>
      <c r="CO189" s="21026"/>
      <c r="CP189" s="21026"/>
      <c r="CQ189" s="21026"/>
      <c r="CR189" s="21026"/>
      <c r="CS189" s="21026"/>
      <c r="CT189" s="21027"/>
      <c r="CU189" s="21027"/>
      <c r="CV189" s="21632" t="s">
        <v>618</v>
      </c>
      <c r="CW189" s="21281"/>
      <c r="CX189" s="21633"/>
      <c r="CY189" s="21633" t="str">
        <f>IF(T189="","",T189)</f>
        <v>Наименование централизованной системы холодного водоснабжения</v>
      </c>
      <c r="CZ189" s="21633"/>
      <c r="DA189" s="21633"/>
      <c r="DB189" s="21020">
        <v>0</v>
      </c>
    </row>
    <row s="56070" customFormat="1" customHeight="1" ht="23.25">
      <c r="A190" s="21621"/>
      <c r="B190" s="21621"/>
      <c r="C190" s="21621"/>
      <c r="D190" s="21621"/>
      <c r="E190" s="21622"/>
      <c r="F190" s="21622" t="s">
        <v>95</v>
      </c>
      <c r="G190" s="21622"/>
      <c r="H190" s="21622"/>
      <c r="I190" s="21638" t="str">
        <f>S189&amp;".1"</f>
        <v>1.8.1.1</v>
      </c>
      <c r="J190" s="21621"/>
      <c r="K190" s="21621"/>
      <c r="L190" s="21624"/>
      <c r="M190" s="21639"/>
      <c r="N190" s="21639"/>
      <c r="O190" s="21639"/>
      <c r="P190" s="21640">
        <v>1</v>
      </c>
      <c r="Q190" s="21640"/>
      <c r="R190" s="21641"/>
      <c r="S190" s="21629" t="str">
        <f>$I190</f>
        <v>1.8.1.1</v>
      </c>
      <c r="T190" s="21642" t="s">
        <v>619</v>
      </c>
      <c r="U190" s="21631"/>
      <c r="V190" s="21038"/>
      <c r="W190" s="21039"/>
      <c r="X190" s="21039"/>
      <c r="Y190" s="21039"/>
      <c r="Z190" s="21039"/>
      <c r="AA190" s="21039"/>
      <c r="AB190" s="21040"/>
      <c r="AC190" s="21643"/>
      <c r="AD190" s="21644"/>
      <c r="AE190" s="21644"/>
      <c r="AF190" s="21644"/>
      <c r="AG190" s="21644"/>
      <c r="AH190" s="21644"/>
      <c r="AI190" s="21644"/>
      <c r="AJ190" s="21038"/>
      <c r="AK190" s="21039"/>
      <c r="AL190" s="21039"/>
      <c r="AM190" s="21039"/>
      <c r="AN190" s="21039"/>
      <c r="AO190" s="21039"/>
      <c r="AP190" s="21040"/>
      <c r="AQ190" s="21038"/>
      <c r="AR190" s="21039"/>
      <c r="AS190" s="21039"/>
      <c r="AT190" s="21039"/>
      <c r="AU190" s="21039"/>
      <c r="AV190" s="21039"/>
      <c r="AW190" s="21040"/>
      <c r="AX190" s="21038"/>
      <c r="AY190" s="21039"/>
      <c r="AZ190" s="21039"/>
      <c r="BA190" s="21039"/>
      <c r="BB190" s="21039"/>
      <c r="BC190" s="21039"/>
      <c r="BD190" s="21040"/>
      <c r="BE190" s="21038"/>
      <c r="BF190" s="21039"/>
      <c r="BG190" s="21039"/>
      <c r="BH190" s="21039"/>
      <c r="BI190" s="21039"/>
      <c r="BJ190" s="21039"/>
      <c r="BK190" s="21040"/>
      <c r="BL190" s="21038"/>
      <c r="BM190" s="21039"/>
      <c r="BN190" s="21039"/>
      <c r="BO190" s="21039"/>
      <c r="BP190" s="21039"/>
      <c r="BQ190" s="21039"/>
      <c r="BR190" s="21040"/>
      <c r="BS190" s="21038"/>
      <c r="BT190" s="21039"/>
      <c r="BU190" s="21039"/>
      <c r="BV190" s="21039"/>
      <c r="BW190" s="21039"/>
      <c r="BX190" s="21039"/>
      <c r="BY190" s="21040"/>
      <c r="BZ190" s="21038"/>
      <c r="CA190" s="21039"/>
      <c r="CB190" s="21039"/>
      <c r="CC190" s="21039"/>
      <c r="CD190" s="21039"/>
      <c r="CE190" s="21039"/>
      <c r="CF190" s="21040"/>
      <c r="CG190" s="21038"/>
      <c r="CH190" s="21039"/>
      <c r="CI190" s="21039"/>
      <c r="CJ190" s="21039"/>
      <c r="CK190" s="21039"/>
      <c r="CL190" s="21039"/>
      <c r="CM190" s="21040"/>
      <c r="CN190" s="21038"/>
      <c r="CO190" s="21039"/>
      <c r="CP190" s="21039"/>
      <c r="CQ190" s="21039"/>
      <c r="CR190" s="21039"/>
      <c r="CS190" s="21039"/>
      <c r="CT190" s="21040"/>
      <c r="CU190" s="21645"/>
      <c r="CV190" s="21632" t="s">
        <v>620</v>
      </c>
      <c r="CW190" s="21281"/>
      <c r="CX190" s="21633"/>
      <c r="CY190" s="21633" t="str">
        <f>IF(T190="","",T190)</f>
        <v>Наименование признака дифференциации</v>
      </c>
      <c r="CZ190" s="21633"/>
      <c r="DA190" s="21633"/>
      <c r="DB190" s="21020">
        <v>0</v>
      </c>
    </row>
    <row s="56071" customFormat="1" customHeight="1" ht="23.25">
      <c r="A191" s="21621"/>
      <c r="B191" s="21621"/>
      <c r="C191" s="21621"/>
      <c r="D191" s="21621"/>
      <c r="E191" s="21622"/>
      <c r="F191" s="21622" t="s">
        <v>95</v>
      </c>
      <c r="G191" s="21622"/>
      <c r="H191" s="21622"/>
      <c r="I191" s="21647"/>
      <c r="J191" s="21638" t="str">
        <f>I190&amp;".1"</f>
        <v>1.8.1.1.1</v>
      </c>
      <c r="K191" s="21621"/>
      <c r="L191" s="21624" t="s">
        <v>545</v>
      </c>
      <c r="M191" s="21639"/>
      <c r="N191" s="21639"/>
      <c r="O191" s="21639"/>
      <c r="P191" s="21640"/>
      <c r="Q191" s="21640">
        <v>1</v>
      </c>
      <c r="R191" s="21648"/>
      <c r="S191" s="21629" t="str">
        <f>$J191</f>
        <v>1.8.1.1.1</v>
      </c>
      <c r="T191" s="21649" t="s">
        <v>546</v>
      </c>
      <c r="U191" s="21631"/>
      <c r="V191" s="21045"/>
      <c r="W191" s="21046"/>
      <c r="X191" s="21046"/>
      <c r="Y191" s="21046"/>
      <c r="Z191" s="21046"/>
      <c r="AA191" s="21046"/>
      <c r="AB191" s="21047"/>
      <c r="AC191" s="21045" t="s">
        <v>632</v>
      </c>
      <c r="AD191" s="21046"/>
      <c r="AE191" s="21046"/>
      <c r="AF191" s="21046"/>
      <c r="AG191" s="21046"/>
      <c r="AH191" s="21046"/>
      <c r="AI191" s="21046"/>
      <c r="AJ191" s="21045"/>
      <c r="AK191" s="21046"/>
      <c r="AL191" s="21046"/>
      <c r="AM191" s="21046"/>
      <c r="AN191" s="21046"/>
      <c r="AO191" s="21046"/>
      <c r="AP191" s="21047"/>
      <c r="AQ191" s="21045"/>
      <c r="AR191" s="21046"/>
      <c r="AS191" s="21046"/>
      <c r="AT191" s="21046"/>
      <c r="AU191" s="21046"/>
      <c r="AV191" s="21046"/>
      <c r="AW191" s="21047"/>
      <c r="AX191" s="21045"/>
      <c r="AY191" s="21046"/>
      <c r="AZ191" s="21046"/>
      <c r="BA191" s="21046"/>
      <c r="BB191" s="21046"/>
      <c r="BC191" s="21046"/>
      <c r="BD191" s="21047"/>
      <c r="BE191" s="21045"/>
      <c r="BF191" s="21046"/>
      <c r="BG191" s="21046"/>
      <c r="BH191" s="21046"/>
      <c r="BI191" s="21046"/>
      <c r="BJ191" s="21046"/>
      <c r="BK191" s="21047"/>
      <c r="BL191" s="21045"/>
      <c r="BM191" s="21046"/>
      <c r="BN191" s="21046"/>
      <c r="BO191" s="21046"/>
      <c r="BP191" s="21046"/>
      <c r="BQ191" s="21046"/>
      <c r="BR191" s="21047"/>
      <c r="BS191" s="21045"/>
      <c r="BT191" s="21046"/>
      <c r="BU191" s="21046"/>
      <c r="BV191" s="21046"/>
      <c r="BW191" s="21046"/>
      <c r="BX191" s="21046"/>
      <c r="BY191" s="21047"/>
      <c r="BZ191" s="21045"/>
      <c r="CA191" s="21046"/>
      <c r="CB191" s="21046"/>
      <c r="CC191" s="21046"/>
      <c r="CD191" s="21046"/>
      <c r="CE191" s="21046"/>
      <c r="CF191" s="21047"/>
      <c r="CG191" s="21045"/>
      <c r="CH191" s="21046"/>
      <c r="CI191" s="21046"/>
      <c r="CJ191" s="21046"/>
      <c r="CK191" s="21046"/>
      <c r="CL191" s="21046"/>
      <c r="CM191" s="21047"/>
      <c r="CN191" s="21045"/>
      <c r="CO191" s="21046"/>
      <c r="CP191" s="21046"/>
      <c r="CQ191" s="21046"/>
      <c r="CR191" s="21046"/>
      <c r="CS191" s="21046"/>
      <c r="CT191" s="21047"/>
      <c r="CU191" s="21047"/>
      <c r="CV191" s="21650" t="s">
        <v>621</v>
      </c>
      <c r="CW191" s="21281"/>
      <c r="CX191" s="21633"/>
      <c r="CY191" s="21633" t="str">
        <f>IF(T191="","",T191)</f>
        <v>Группа потребителей</v>
      </c>
      <c r="CZ191" s="21633"/>
      <c r="DA191" s="21633"/>
      <c r="DB191" s="21020">
        <v>0</v>
      </c>
    </row>
    <row s="56072" customFormat="1" customHeight="1" ht="23.25">
      <c r="A192" s="21621"/>
      <c r="B192" s="21621"/>
      <c r="C192" s="21621"/>
      <c r="D192" s="21621"/>
      <c r="E192" s="21622"/>
      <c r="F192" s="21622" t="s">
        <v>95</v>
      </c>
      <c r="G192" s="21622"/>
      <c r="H192" s="21622"/>
      <c r="I192" s="21647"/>
      <c r="J192" s="21647"/>
      <c r="K192" s="21638" t="str">
        <f>J191&amp;".1"</f>
        <v>1.8.1.1.1.1</v>
      </c>
      <c r="L192" s="21624"/>
      <c r="M192" s="21639"/>
      <c r="N192" s="21639"/>
      <c r="O192" s="21639"/>
      <c r="P192" s="21640"/>
      <c r="Q192" s="21640"/>
      <c r="R192" s="21648">
        <v>1</v>
      </c>
      <c r="S192" s="21629" t="str">
        <f>$K192</f>
        <v>1.8.1.1.1.1</v>
      </c>
      <c r="T192" s="21652"/>
      <c r="U192" s="21631"/>
      <c r="V192" s="21053"/>
      <c r="W192" s="21053"/>
      <c r="X192" s="21054"/>
      <c r="Y192" s="21055"/>
      <c r="Z192" s="21056" t="s">
        <v>63</v>
      </c>
      <c r="AA192" s="21055"/>
      <c r="AB192" s="21056" t="s">
        <v>63</v>
      </c>
      <c r="AC192" s="21053">
        <v>55.08</v>
      </c>
      <c r="AD192" s="21053"/>
      <c r="AE192" s="21054"/>
      <c r="AF192" s="44875">
        <v>45292.45438657407</v>
      </c>
      <c r="AG192" s="21056" t="s">
        <v>63</v>
      </c>
      <c r="AH192" s="44876">
        <v>45473.45454861111</v>
      </c>
      <c r="AI192" s="21056" t="s">
        <v>63</v>
      </c>
      <c r="AJ192" s="21053">
        <v>66.1</v>
      </c>
      <c r="AK192" s="21053"/>
      <c r="AL192" s="21054"/>
      <c r="AM192" s="44875">
        <v>45474.45489583333</v>
      </c>
      <c r="AN192" s="21056" t="s">
        <v>63</v>
      </c>
      <c r="AO192" s="44875">
        <v>45657.455034722225</v>
      </c>
      <c r="AP192" s="21056" t="s">
        <v>63</v>
      </c>
      <c r="AQ192" s="21053">
        <v>66.1</v>
      </c>
      <c r="AR192" s="21053"/>
      <c r="AS192" s="21054"/>
      <c r="AT192" s="44875">
        <v>45658.455613425926</v>
      </c>
      <c r="AU192" s="21056" t="s">
        <v>63</v>
      </c>
      <c r="AV192" s="44875">
        <v>45838.455925925926</v>
      </c>
      <c r="AW192" s="21056" t="s">
        <v>63</v>
      </c>
      <c r="AX192" s="21053">
        <v>73.37</v>
      </c>
      <c r="AY192" s="21053"/>
      <c r="AZ192" s="21054"/>
      <c r="BA192" s="44875">
        <v>45839.45636574074</v>
      </c>
      <c r="BB192" s="21056" t="s">
        <v>63</v>
      </c>
      <c r="BC192" s="44875">
        <v>46022.45699074074</v>
      </c>
      <c r="BD192" s="21056" t="s">
        <v>63</v>
      </c>
      <c r="BE192" s="21053">
        <v>73.37</v>
      </c>
      <c r="BF192" s="21053"/>
      <c r="BG192" s="21054"/>
      <c r="BH192" s="44875">
        <v>46023.45756944444</v>
      </c>
      <c r="BI192" s="21056" t="s">
        <v>63</v>
      </c>
      <c r="BJ192" s="44875">
        <v>46203.458020833335</v>
      </c>
      <c r="BK192" s="21056" t="s">
        <v>63</v>
      </c>
      <c r="BL192" s="21053">
        <v>77.77</v>
      </c>
      <c r="BM192" s="21053"/>
      <c r="BN192" s="21054"/>
      <c r="BO192" s="44875">
        <v>46204.458506944444</v>
      </c>
      <c r="BP192" s="21056" t="s">
        <v>63</v>
      </c>
      <c r="BQ192" s="44875">
        <v>46387.458761574075</v>
      </c>
      <c r="BR192" s="21056" t="s">
        <v>63</v>
      </c>
      <c r="BS192" s="21053">
        <v>77.77</v>
      </c>
      <c r="BT192" s="21053"/>
      <c r="BU192" s="21054"/>
      <c r="BV192" s="44875">
        <v>46388.46025462963</v>
      </c>
      <c r="BW192" s="21056" t="s">
        <v>63</v>
      </c>
      <c r="BX192" s="44875">
        <v>46568.46061342592</v>
      </c>
      <c r="BY192" s="21056" t="s">
        <v>63</v>
      </c>
      <c r="BZ192" s="21053">
        <v>82.44</v>
      </c>
      <c r="CA192" s="21053"/>
      <c r="CB192" s="21054"/>
      <c r="CC192" s="44875">
        <v>46569.4612037037</v>
      </c>
      <c r="CD192" s="21056" t="s">
        <v>63</v>
      </c>
      <c r="CE192" s="44875">
        <v>46752.46146990741</v>
      </c>
      <c r="CF192" s="21056" t="s">
        <v>63</v>
      </c>
      <c r="CG192" s="21053">
        <v>82.44</v>
      </c>
      <c r="CH192" s="21053"/>
      <c r="CI192" s="21054"/>
      <c r="CJ192" s="44875">
        <v>46753.46195601852</v>
      </c>
      <c r="CK192" s="21056" t="s">
        <v>63</v>
      </c>
      <c r="CL192" s="44875">
        <v>46934.46221064815</v>
      </c>
      <c r="CM192" s="21056" t="s">
        <v>63</v>
      </c>
      <c r="CN192" s="21053">
        <v>87.59</v>
      </c>
      <c r="CO192" s="21053"/>
      <c r="CP192" s="21054"/>
      <c r="CQ192" s="44875">
        <v>46935.462534722225</v>
      </c>
      <c r="CR192" s="21056" t="s">
        <v>63</v>
      </c>
      <c r="CS192" s="44875">
        <v>47118.46288194445</v>
      </c>
      <c r="CT192" s="21056" t="s">
        <v>63</v>
      </c>
      <c r="CU192" s="21653"/>
      <c r="CV192"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2" s="21281">
        <f>STRCHECKDATE(V193:CU193)</f>
      </c>
      <c r="CX192" s="21633"/>
      <c r="CY192" s="21633" t="str">
        <f>IF(T192="","",T192)</f>
        <v/>
      </c>
      <c r="CZ192" s="21633"/>
      <c r="DA192" s="21633"/>
      <c r="DB192" s="21020">
        <v>0</v>
      </c>
    </row>
    <row s="56073" customFormat="1" customHeight="1" ht="14.25">
      <c r="A193" s="21621"/>
      <c r="B193" s="21621"/>
      <c r="C193" s="21621"/>
      <c r="D193" s="21621"/>
      <c r="E193" s="21622"/>
      <c r="F193" s="21622" t="s">
        <v>95</v>
      </c>
      <c r="G193" s="21622"/>
      <c r="H193" s="21622"/>
      <c r="I193" s="21647"/>
      <c r="J193" s="21647"/>
      <c r="K193" s="21638"/>
      <c r="L193" s="21624"/>
      <c r="M193" s="21639"/>
      <c r="N193" s="21639"/>
      <c r="O193" s="21639"/>
      <c r="P193" s="21640"/>
      <c r="Q193" s="21640"/>
      <c r="R193" s="21648"/>
      <c r="S193" s="21656"/>
      <c r="T193" s="21631"/>
      <c r="U193" s="21631"/>
      <c r="V193" s="21063"/>
      <c r="W193" s="21063"/>
      <c r="X193" s="21064" t="str">
        <f>Y192&amp;"-"&amp;AA192</f>
        <v>-</v>
      </c>
      <c r="Y193" s="21065"/>
      <c r="Z193" s="21056"/>
      <c r="AA193" s="21065"/>
      <c r="AB193" s="21056"/>
      <c r="AC193" s="21063"/>
      <c r="AD193" s="21063"/>
      <c r="AE193" s="21064" t="str">
        <f>AF192&amp;"-"&amp;AH192</f>
        <v>45292.45438657407-45473.45454861111</v>
      </c>
      <c r="AF193" s="21065"/>
      <c r="AG193" s="21056"/>
      <c r="AH193" s="21324"/>
      <c r="AI193" s="21056"/>
      <c r="AJ193" s="21063"/>
      <c r="AK193" s="21063"/>
      <c r="AL193" s="21064" t="str">
        <f>AM192&amp;"-"&amp;AO192</f>
        <v>45474.45489583333-45657.455034722225</v>
      </c>
      <c r="AM193" s="21065"/>
      <c r="AN193" s="21056"/>
      <c r="AO193" s="21065"/>
      <c r="AP193" s="21056"/>
      <c r="AQ193" s="21063"/>
      <c r="AR193" s="21063"/>
      <c r="AS193" s="21064" t="str">
        <f>AT192&amp;"-"&amp;AV192</f>
        <v>45658.455613425926-45838.455925925926</v>
      </c>
      <c r="AT193" s="21065"/>
      <c r="AU193" s="21056"/>
      <c r="AV193" s="21065"/>
      <c r="AW193" s="21056"/>
      <c r="AX193" s="21063"/>
      <c r="AY193" s="21063"/>
      <c r="AZ193" s="21064" t="str">
        <f>BA192&amp;"-"&amp;BC192</f>
        <v>45839.45636574074-46022.45699074074</v>
      </c>
      <c r="BA193" s="21065"/>
      <c r="BB193" s="21056"/>
      <c r="BC193" s="21065"/>
      <c r="BD193" s="21056"/>
      <c r="BE193" s="21063"/>
      <c r="BF193" s="21063"/>
      <c r="BG193" s="21064" t="str">
        <f>BH192&amp;"-"&amp;BJ192</f>
        <v>46023.45756944444-46203.458020833335</v>
      </c>
      <c r="BH193" s="21065"/>
      <c r="BI193" s="21056"/>
      <c r="BJ193" s="21065"/>
      <c r="BK193" s="21056"/>
      <c r="BL193" s="21063"/>
      <c r="BM193" s="21063"/>
      <c r="BN193" s="21064" t="str">
        <f>BO192&amp;"-"&amp;BQ192</f>
        <v>46204.458506944444-46387.458761574075</v>
      </c>
      <c r="BO193" s="21065"/>
      <c r="BP193" s="21056"/>
      <c r="BQ193" s="21065"/>
      <c r="BR193" s="21056"/>
      <c r="BS193" s="21063"/>
      <c r="BT193" s="21063"/>
      <c r="BU193" s="21064" t="str">
        <f>BV192&amp;"-"&amp;BX192</f>
        <v>46388.46025462963-46568.46061342592</v>
      </c>
      <c r="BV193" s="21065"/>
      <c r="BW193" s="21056"/>
      <c r="BX193" s="21065"/>
      <c r="BY193" s="21056"/>
      <c r="BZ193" s="21063"/>
      <c r="CA193" s="21063"/>
      <c r="CB193" s="21064" t="str">
        <f>CC192&amp;"-"&amp;CE192</f>
        <v>46569.4612037037-46752.46146990741</v>
      </c>
      <c r="CC193" s="21065"/>
      <c r="CD193" s="21056"/>
      <c r="CE193" s="21065"/>
      <c r="CF193" s="21056"/>
      <c r="CG193" s="21063"/>
      <c r="CH193" s="21063"/>
      <c r="CI193" s="21064" t="str">
        <f>CJ192&amp;"-"&amp;CL192</f>
        <v>46753.46195601852-46934.46221064815</v>
      </c>
      <c r="CJ193" s="21065"/>
      <c r="CK193" s="21056"/>
      <c r="CL193" s="21065"/>
      <c r="CM193" s="21056"/>
      <c r="CN193" s="21063"/>
      <c r="CO193" s="21063"/>
      <c r="CP193" s="21064" t="str">
        <f>CQ192&amp;"-"&amp;CS192</f>
        <v>46935.462534722225-47118.46288194445</v>
      </c>
      <c r="CQ193" s="21065"/>
      <c r="CR193" s="21056"/>
      <c r="CS193" s="21065"/>
      <c r="CT193" s="21056"/>
      <c r="CU193" s="21657"/>
      <c r="CV193" s="21654"/>
      <c r="CW193" s="21281"/>
      <c r="CX193" s="21633"/>
      <c r="CY193" s="21633" t="str">
        <f>IF(T193="","",T193)</f>
        <v/>
      </c>
      <c r="CZ193" s="21633"/>
      <c r="DA193" s="21633"/>
      <c r="DB193" s="21020">
        <v>0</v>
      </c>
    </row>
    <row s="56074" customFormat="1" customHeight="1" ht="21">
      <c r="A194" s="21621"/>
      <c r="B194" s="21621"/>
      <c r="C194" s="21621"/>
      <c r="D194" s="21621"/>
      <c r="E194" s="21622"/>
      <c r="F194" s="21622" t="s">
        <v>95</v>
      </c>
      <c r="G194" s="21622"/>
      <c r="H194" s="21622"/>
      <c r="I194" s="21647"/>
      <c r="J194" s="21638"/>
      <c r="K194" s="21621"/>
      <c r="L194" s="21624"/>
      <c r="M194" s="21639"/>
      <c r="N194" s="21639"/>
      <c r="O194" s="21639"/>
      <c r="P194" s="21640"/>
      <c r="Q194" s="21640"/>
      <c r="R194" s="21641"/>
      <c r="S194" s="24722"/>
      <c r="T194" s="24723" t="s">
        <v>622</v>
      </c>
      <c r="U194" s="24724"/>
      <c r="V194" s="24725"/>
      <c r="W194" s="24726"/>
      <c r="X194" s="24727"/>
      <c r="Y194" s="24728"/>
      <c r="Z194" s="24729"/>
      <c r="AA194" s="24730"/>
      <c r="AB194" s="24731"/>
      <c r="AC194" s="24732"/>
      <c r="AD194" s="24733"/>
      <c r="AE194" s="24734"/>
      <c r="AF194" s="24735"/>
      <c r="AG194" s="24736"/>
      <c r="AH194" s="24737"/>
      <c r="AI194" s="24738"/>
      <c r="AJ194" s="24739"/>
      <c r="AK194" s="24740"/>
      <c r="AL194" s="24741"/>
      <c r="AM194" s="24742"/>
      <c r="AN194" s="24743"/>
      <c r="AO194" s="24744"/>
      <c r="AP194" s="24745"/>
      <c r="AQ194" s="24746"/>
      <c r="AR194" s="24747"/>
      <c r="AS194" s="24748"/>
      <c r="AT194" s="24749"/>
      <c r="AU194" s="24750"/>
      <c r="AV194" s="24751"/>
      <c r="AW194" s="24752"/>
      <c r="AX194" s="24753"/>
      <c r="AY194" s="24754"/>
      <c r="AZ194" s="24755"/>
      <c r="BA194" s="24756"/>
      <c r="BB194" s="24757"/>
      <c r="BC194" s="24758"/>
      <c r="BD194" s="24759"/>
      <c r="BE194" s="24760"/>
      <c r="BF194" s="24761"/>
      <c r="BG194" s="24762"/>
      <c r="BH194" s="24763"/>
      <c r="BI194" s="24764"/>
      <c r="BJ194" s="24765"/>
      <c r="BK194" s="24766"/>
      <c r="BL194" s="24767"/>
      <c r="BM194" s="24768"/>
      <c r="BN194" s="24769"/>
      <c r="BO194" s="24770"/>
      <c r="BP194" s="24771"/>
      <c r="BQ194" s="24772"/>
      <c r="BR194" s="24773"/>
      <c r="BS194" s="24774"/>
      <c r="BT194" s="24775"/>
      <c r="BU194" s="24776"/>
      <c r="BV194" s="24777"/>
      <c r="BW194" s="24778"/>
      <c r="BX194" s="24779"/>
      <c r="BY194" s="24780"/>
      <c r="BZ194" s="24781"/>
      <c r="CA194" s="24782"/>
      <c r="CB194" s="24783"/>
      <c r="CC194" s="24784"/>
      <c r="CD194" s="24785"/>
      <c r="CE194" s="24786"/>
      <c r="CF194" s="24787"/>
      <c r="CG194" s="24788"/>
      <c r="CH194" s="24789"/>
      <c r="CI194" s="24790"/>
      <c r="CJ194" s="24791"/>
      <c r="CK194" s="24792"/>
      <c r="CL194" s="24793"/>
      <c r="CM194" s="24794"/>
      <c r="CN194" s="24795"/>
      <c r="CO194" s="24796"/>
      <c r="CP194" s="24797"/>
      <c r="CQ194" s="24798"/>
      <c r="CR194" s="24799"/>
      <c r="CS194" s="24800"/>
      <c r="CT194" s="24801"/>
      <c r="CU194" s="24802"/>
      <c r="CV194" s="21632" t="s">
        <v>623</v>
      </c>
      <c r="CW194" s="21281"/>
      <c r="CX194" s="21633"/>
      <c r="CY194" s="21633" t="str">
        <f>IF(T194="","",T194)</f>
        <v>Добавить значение признака дифференциации</v>
      </c>
      <c r="CZ194" s="21633"/>
      <c r="DA194" s="21633"/>
      <c r="DB194" s="21020">
        <v>0</v>
      </c>
    </row>
    <row s="56156" customFormat="1" customHeight="1" ht="23.25">
      <c r="A195" s="33106"/>
      <c r="B195" s="33106"/>
      <c r="C195" s="33106"/>
      <c r="D195" s="33106"/>
      <c r="E195" s="33107"/>
      <c r="F195" s="33107"/>
      <c r="G195" s="33107"/>
      <c r="H195" s="33107"/>
      <c r="I195" s="33108"/>
      <c r="J195" s="33109" t="str">
        <f>I190&amp;".2"</f>
        <v>1.8.1.1.2</v>
      </c>
      <c r="K195" s="33106"/>
      <c r="L195" s="33110" t="s">
        <v>545</v>
      </c>
      <c r="M195" s="33111"/>
      <c r="N195" s="33111"/>
      <c r="O195" s="33111"/>
      <c r="P195" s="33112"/>
      <c r="Q195" s="33113" t="s">
        <v>106</v>
      </c>
      <c r="R195" s="33114"/>
      <c r="S195" s="33115" t="str">
        <f>$J195</f>
        <v>1.8.1.1.2</v>
      </c>
      <c r="T195" s="33116" t="s">
        <v>546</v>
      </c>
      <c r="U195" s="33117"/>
      <c r="V195" s="33118"/>
      <c r="W195" s="33119"/>
      <c r="X195" s="33119"/>
      <c r="Y195" s="33119"/>
      <c r="Z195" s="33119"/>
      <c r="AA195" s="33119"/>
      <c r="AB195" s="33120"/>
      <c r="AC195" s="33118" t="s">
        <v>633</v>
      </c>
      <c r="AD195" s="33119"/>
      <c r="AE195" s="33119"/>
      <c r="AF195" s="33119"/>
      <c r="AG195" s="33119"/>
      <c r="AH195" s="33119"/>
      <c r="AI195" s="33119"/>
      <c r="AJ195" s="33118"/>
      <c r="AK195" s="33119"/>
      <c r="AL195" s="33119"/>
      <c r="AM195" s="33119"/>
      <c r="AN195" s="33119"/>
      <c r="AO195" s="33119"/>
      <c r="AP195" s="33120"/>
      <c r="AQ195" s="33118"/>
      <c r="AR195" s="33119"/>
      <c r="AS195" s="33119"/>
      <c r="AT195" s="33119"/>
      <c r="AU195" s="33119"/>
      <c r="AV195" s="33119"/>
      <c r="AW195" s="33120"/>
      <c r="AX195" s="33118"/>
      <c r="AY195" s="33119"/>
      <c r="AZ195" s="33119"/>
      <c r="BA195" s="33119"/>
      <c r="BB195" s="33119"/>
      <c r="BC195" s="33119"/>
      <c r="BD195" s="33120"/>
      <c r="BE195" s="33118"/>
      <c r="BF195" s="33119"/>
      <c r="BG195" s="33119"/>
      <c r="BH195" s="33119"/>
      <c r="BI195" s="33119"/>
      <c r="BJ195" s="33119"/>
      <c r="BK195" s="33120"/>
      <c r="BL195" s="33118"/>
      <c r="BM195" s="33119"/>
      <c r="BN195" s="33119"/>
      <c r="BO195" s="33119"/>
      <c r="BP195" s="33119"/>
      <c r="BQ195" s="33119"/>
      <c r="BR195" s="33120"/>
      <c r="BS195" s="33118"/>
      <c r="BT195" s="33119"/>
      <c r="BU195" s="33119"/>
      <c r="BV195" s="33119"/>
      <c r="BW195" s="33119"/>
      <c r="BX195" s="33119"/>
      <c r="BY195" s="33120"/>
      <c r="BZ195" s="33118"/>
      <c r="CA195" s="33119"/>
      <c r="CB195" s="33119"/>
      <c r="CC195" s="33119"/>
      <c r="CD195" s="33119"/>
      <c r="CE195" s="33119"/>
      <c r="CF195" s="33120"/>
      <c r="CG195" s="33118"/>
      <c r="CH195" s="33119"/>
      <c r="CI195" s="33119"/>
      <c r="CJ195" s="33119"/>
      <c r="CK195" s="33119"/>
      <c r="CL195" s="33119"/>
      <c r="CM195" s="33120"/>
      <c r="CN195" s="33118"/>
      <c r="CO195" s="33119"/>
      <c r="CP195" s="33119"/>
      <c r="CQ195" s="33119"/>
      <c r="CR195" s="33119"/>
      <c r="CS195" s="33119"/>
      <c r="CT195" s="33121"/>
      <c r="CU195" s="33120"/>
      <c r="CV195" s="33122" t="s">
        <v>621</v>
      </c>
      <c r="CW195" s="33123"/>
      <c r="CX195" s="33124"/>
      <c r="CY195" s="33124" t="str">
        <f>IF(T195="","",T195)</f>
        <v>Группа потребителей</v>
      </c>
      <c r="CZ195" s="33124"/>
      <c r="DA195" s="33124"/>
      <c r="DB195" s="33125">
        <v>0</v>
      </c>
    </row>
    <row s="56157" customFormat="1" customHeight="1" ht="23.25">
      <c r="A196" s="33106"/>
      <c r="B196" s="33106"/>
      <c r="C196" s="33106"/>
      <c r="D196" s="33106"/>
      <c r="E196" s="33107"/>
      <c r="F196" s="33107"/>
      <c r="G196" s="33107"/>
      <c r="H196" s="33107"/>
      <c r="I196" s="33108"/>
      <c r="J196" s="33108" t="str">
        <f>I190&amp;".1"</f>
        <v>1.8.1.1.1</v>
      </c>
      <c r="K196" s="33109" t="str">
        <f>J195&amp;".1"</f>
        <v>1.8.1.1.2.1</v>
      </c>
      <c r="L196" s="33110"/>
      <c r="M196" s="33111"/>
      <c r="N196" s="33111"/>
      <c r="O196" s="33111"/>
      <c r="P196" s="33112"/>
      <c r="Q196" s="33112"/>
      <c r="R196" s="33114">
        <v>1</v>
      </c>
      <c r="S196" s="33115" t="str">
        <f>$K196</f>
        <v>1.8.1.1.2.1</v>
      </c>
      <c r="T196" s="33127"/>
      <c r="U196" s="33117"/>
      <c r="V196" s="33128"/>
      <c r="W196" s="33128"/>
      <c r="X196" s="33129"/>
      <c r="Y196" s="33020"/>
      <c r="Z196" s="33130" t="s">
        <v>63</v>
      </c>
      <c r="AA196" s="33020"/>
      <c r="AB196" s="33130" t="s">
        <v>63</v>
      </c>
      <c r="AC196" s="33128">
        <v>45.9</v>
      </c>
      <c r="AD196" s="33128"/>
      <c r="AE196" s="33129"/>
      <c r="AF196" s="44875">
        <v>45292.45447916666</v>
      </c>
      <c r="AG196" s="33130" t="s">
        <v>63</v>
      </c>
      <c r="AH196" s="44876">
        <v>45473.45465277778</v>
      </c>
      <c r="AI196" s="33130" t="s">
        <v>63</v>
      </c>
      <c r="AJ196" s="33128">
        <v>55.08</v>
      </c>
      <c r="AK196" s="33128"/>
      <c r="AL196" s="33129"/>
      <c r="AM196" s="44875">
        <v>45474.45496527778</v>
      </c>
      <c r="AN196" s="33130" t="s">
        <v>63</v>
      </c>
      <c r="AO196" s="44875">
        <v>45657.455104166664</v>
      </c>
      <c r="AP196" s="33130" t="s">
        <v>63</v>
      </c>
      <c r="AQ196" s="33128">
        <v>55.08</v>
      </c>
      <c r="AR196" s="33128"/>
      <c r="AS196" s="33129"/>
      <c r="AT196" s="44875">
        <v>45658.45578703703</v>
      </c>
      <c r="AU196" s="33130" t="s">
        <v>63</v>
      </c>
      <c r="AV196" s="44875">
        <v>45838.456041666665</v>
      </c>
      <c r="AW196" s="33130" t="s">
        <v>63</v>
      </c>
      <c r="AX196" s="33128">
        <v>61.14</v>
      </c>
      <c r="AY196" s="33128"/>
      <c r="AZ196" s="33129"/>
      <c r="BA196" s="44875">
        <v>45839.45680555556</v>
      </c>
      <c r="BB196" s="33130" t="s">
        <v>63</v>
      </c>
      <c r="BC196" s="44875">
        <v>46022.457083333335</v>
      </c>
      <c r="BD196" s="33130" t="s">
        <v>63</v>
      </c>
      <c r="BE196" s="33128">
        <v>61.14</v>
      </c>
      <c r="BF196" s="33128"/>
      <c r="BG196" s="33129"/>
      <c r="BH196" s="44875">
        <v>46023.45775462963</v>
      </c>
      <c r="BI196" s="33130" t="s">
        <v>63</v>
      </c>
      <c r="BJ196" s="44875">
        <v>46203.45814814815</v>
      </c>
      <c r="BK196" s="33130" t="s">
        <v>63</v>
      </c>
      <c r="BL196" s="33128">
        <v>64.81</v>
      </c>
      <c r="BM196" s="33128"/>
      <c r="BN196" s="33129"/>
      <c r="BO196" s="44875">
        <v>46204.45863425926</v>
      </c>
      <c r="BP196" s="33130" t="s">
        <v>63</v>
      </c>
      <c r="BQ196" s="44875">
        <v>46387.45884259259</v>
      </c>
      <c r="BR196" s="33130" t="s">
        <v>63</v>
      </c>
      <c r="BS196" s="33128">
        <v>64.81</v>
      </c>
      <c r="BT196" s="33128"/>
      <c r="BU196" s="33129"/>
      <c r="BV196" s="44875">
        <v>46388.46047453704</v>
      </c>
      <c r="BW196" s="33130" t="s">
        <v>63</v>
      </c>
      <c r="BX196" s="44875">
        <v>46568.46072916667</v>
      </c>
      <c r="BY196" s="33130" t="s">
        <v>63</v>
      </c>
      <c r="BZ196" s="33128">
        <v>68.7</v>
      </c>
      <c r="CA196" s="33128"/>
      <c r="CB196" s="33129"/>
      <c r="CC196" s="44875">
        <v>46569.46134259259</v>
      </c>
      <c r="CD196" s="33130" t="s">
        <v>63</v>
      </c>
      <c r="CE196" s="44875">
        <v>46752.46163194445</v>
      </c>
      <c r="CF196" s="33130" t="s">
        <v>63</v>
      </c>
      <c r="CG196" s="33128">
        <v>68.7</v>
      </c>
      <c r="CH196" s="33128"/>
      <c r="CI196" s="33129"/>
      <c r="CJ196" s="44875">
        <v>46753.46207175926</v>
      </c>
      <c r="CK196" s="33130" t="s">
        <v>63</v>
      </c>
      <c r="CL196" s="44875">
        <v>46934.46231481482</v>
      </c>
      <c r="CM196" s="33130" t="s">
        <v>63</v>
      </c>
      <c r="CN196" s="33128">
        <v>72.99</v>
      </c>
      <c r="CO196" s="33128"/>
      <c r="CP196" s="33129"/>
      <c r="CQ196" s="44875">
        <v>46935.46271990741</v>
      </c>
      <c r="CR196" s="33130" t="s">
        <v>63</v>
      </c>
      <c r="CS196" s="44875">
        <v>47118.46296296296</v>
      </c>
      <c r="CT196" s="33131" t="s">
        <v>63</v>
      </c>
      <c r="CU196" s="33132"/>
      <c r="CV196"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6" s="33123">
        <f>STRCHECKDATE(V197:CU197)</f>
      </c>
      <c r="CX196" s="33124"/>
      <c r="CY196" s="33124" t="str">
        <f>IF(T196="","",T196)</f>
        <v/>
      </c>
      <c r="CZ196" s="33124"/>
      <c r="DA196" s="33124"/>
      <c r="DB196" s="33125">
        <v>0</v>
      </c>
    </row>
    <row s="56158" customFormat="1" customHeight="1" ht="14.25">
      <c r="A197" s="33106"/>
      <c r="B197" s="33106"/>
      <c r="C197" s="33106"/>
      <c r="D197" s="33106"/>
      <c r="E197" s="33107"/>
      <c r="F197" s="33107"/>
      <c r="G197" s="33107"/>
      <c r="H197" s="33107"/>
      <c r="I197" s="33108"/>
      <c r="J197" s="33108" t="str">
        <f>I190&amp;".1"</f>
        <v>1.8.1.1.1</v>
      </c>
      <c r="K197" s="33109"/>
      <c r="L197" s="33110"/>
      <c r="M197" s="33111"/>
      <c r="N197" s="33111"/>
      <c r="O197" s="33111"/>
      <c r="P197" s="33112"/>
      <c r="Q197" s="33112"/>
      <c r="R197" s="33114"/>
      <c r="S197" s="33135"/>
      <c r="T197" s="33117"/>
      <c r="U197" s="33117"/>
      <c r="V197" s="33136"/>
      <c r="W197" s="33136"/>
      <c r="X197" s="33137" t="str">
        <f>Y196&amp;"-"&amp;AA196</f>
        <v>-</v>
      </c>
      <c r="Y197" s="33138"/>
      <c r="Z197" s="33130"/>
      <c r="AA197" s="33138"/>
      <c r="AB197" s="33130"/>
      <c r="AC197" s="33136"/>
      <c r="AD197" s="33136"/>
      <c r="AE197" s="33137" t="str">
        <f>AF196&amp;"-"&amp;AH196</f>
        <v>45292.45447916666-45473.45465277778</v>
      </c>
      <c r="AF197" s="33138"/>
      <c r="AG197" s="33130"/>
      <c r="AH197" s="33139"/>
      <c r="AI197" s="33130"/>
      <c r="AJ197" s="33136"/>
      <c r="AK197" s="33136"/>
      <c r="AL197" s="33137" t="str">
        <f>AM196&amp;"-"&amp;AO196</f>
        <v>45474.45496527778-45657.455104166664</v>
      </c>
      <c r="AM197" s="33138"/>
      <c r="AN197" s="33130"/>
      <c r="AO197" s="33138"/>
      <c r="AP197" s="33130"/>
      <c r="AQ197" s="33136"/>
      <c r="AR197" s="33136"/>
      <c r="AS197" s="33137" t="str">
        <f>AT196&amp;"-"&amp;AV196</f>
        <v>45658.45578703703-45838.456041666665</v>
      </c>
      <c r="AT197" s="33138"/>
      <c r="AU197" s="33130"/>
      <c r="AV197" s="33138"/>
      <c r="AW197" s="33130"/>
      <c r="AX197" s="33136"/>
      <c r="AY197" s="33136"/>
      <c r="AZ197" s="33137" t="str">
        <f>BA196&amp;"-"&amp;BC196</f>
        <v>45839.45680555556-46022.457083333335</v>
      </c>
      <c r="BA197" s="33138"/>
      <c r="BB197" s="33130"/>
      <c r="BC197" s="33138"/>
      <c r="BD197" s="33130"/>
      <c r="BE197" s="33136"/>
      <c r="BF197" s="33136"/>
      <c r="BG197" s="33137" t="str">
        <f>BH196&amp;"-"&amp;BJ196</f>
        <v>46023.45775462963-46203.45814814815</v>
      </c>
      <c r="BH197" s="33138"/>
      <c r="BI197" s="33130"/>
      <c r="BJ197" s="33138"/>
      <c r="BK197" s="33130"/>
      <c r="BL197" s="33136"/>
      <c r="BM197" s="33136"/>
      <c r="BN197" s="33137" t="str">
        <f>BO196&amp;"-"&amp;BQ196</f>
        <v>46204.45863425926-46387.45884259259</v>
      </c>
      <c r="BO197" s="33138"/>
      <c r="BP197" s="33130"/>
      <c r="BQ197" s="33138"/>
      <c r="BR197" s="33130"/>
      <c r="BS197" s="33136"/>
      <c r="BT197" s="33136"/>
      <c r="BU197" s="33137" t="str">
        <f>BV196&amp;"-"&amp;BX196</f>
        <v>46388.46047453704-46568.46072916667</v>
      </c>
      <c r="BV197" s="33138"/>
      <c r="BW197" s="33130"/>
      <c r="BX197" s="33138"/>
      <c r="BY197" s="33130"/>
      <c r="BZ197" s="33136"/>
      <c r="CA197" s="33136"/>
      <c r="CB197" s="33137" t="str">
        <f>CC196&amp;"-"&amp;CE196</f>
        <v>46569.46134259259-46752.46163194445</v>
      </c>
      <c r="CC197" s="33138"/>
      <c r="CD197" s="33130"/>
      <c r="CE197" s="33138"/>
      <c r="CF197" s="33130"/>
      <c r="CG197" s="33136"/>
      <c r="CH197" s="33136"/>
      <c r="CI197" s="33137" t="str">
        <f>CJ196&amp;"-"&amp;CL196</f>
        <v>46753.46207175926-46934.46231481482</v>
      </c>
      <c r="CJ197" s="33138"/>
      <c r="CK197" s="33130"/>
      <c r="CL197" s="33138"/>
      <c r="CM197" s="33130"/>
      <c r="CN197" s="33136"/>
      <c r="CO197" s="33136"/>
      <c r="CP197" s="33137" t="str">
        <f>CQ196&amp;"-"&amp;CS196</f>
        <v>46935.46271990741-47118.46296296296</v>
      </c>
      <c r="CQ197" s="33138"/>
      <c r="CR197" s="33130"/>
      <c r="CS197" s="33138"/>
      <c r="CT197" s="33131"/>
      <c r="CU197" s="33140"/>
      <c r="CV197" s="33133"/>
      <c r="CW197" s="33123"/>
      <c r="CX197" s="33124"/>
      <c r="CY197" s="33124" t="str">
        <f>IF(T197="","",T197)</f>
        <v/>
      </c>
      <c r="CZ197" s="33124"/>
      <c r="DA197" s="33124"/>
      <c r="DB197" s="33125">
        <v>0</v>
      </c>
    </row>
    <row s="56159" customFormat="1" customHeight="1" ht="21">
      <c r="A198" s="33106"/>
      <c r="B198" s="33106"/>
      <c r="C198" s="33106"/>
      <c r="D198" s="33106"/>
      <c r="E198" s="33107"/>
      <c r="F198" s="33107"/>
      <c r="G198" s="33107"/>
      <c r="H198" s="33107"/>
      <c r="I198" s="33108"/>
      <c r="J198" s="33109" t="str">
        <f>I190&amp;".1"</f>
        <v>1.8.1.1.1</v>
      </c>
      <c r="K198" s="33106"/>
      <c r="L198" s="33110"/>
      <c r="M198" s="33111"/>
      <c r="N198" s="33111"/>
      <c r="O198" s="33111"/>
      <c r="P198" s="33112"/>
      <c r="Q198" s="33112"/>
      <c r="R198" s="33142"/>
      <c r="S198" s="34502"/>
      <c r="T198" s="34503" t="s">
        <v>622</v>
      </c>
      <c r="U198" s="34504"/>
      <c r="V198" s="34505"/>
      <c r="W198" s="34506"/>
      <c r="X198" s="34507"/>
      <c r="Y198" s="34508"/>
      <c r="Z198" s="34509"/>
      <c r="AA198" s="34510"/>
      <c r="AB198" s="34511"/>
      <c r="AC198" s="34512"/>
      <c r="AD198" s="34513"/>
      <c r="AE198" s="34514"/>
      <c r="AF198" s="34515"/>
      <c r="AG198" s="34516"/>
      <c r="AH198" s="34517"/>
      <c r="AI198" s="34518"/>
      <c r="AJ198" s="34519"/>
      <c r="AK198" s="34520"/>
      <c r="AL198" s="34521"/>
      <c r="AM198" s="34522"/>
      <c r="AN198" s="34523"/>
      <c r="AO198" s="34524"/>
      <c r="AP198" s="34525"/>
      <c r="AQ198" s="34526"/>
      <c r="AR198" s="34527"/>
      <c r="AS198" s="34528"/>
      <c r="AT198" s="34529"/>
      <c r="AU198" s="34530"/>
      <c r="AV198" s="34531"/>
      <c r="AW198" s="34532"/>
      <c r="AX198" s="34533"/>
      <c r="AY198" s="34534"/>
      <c r="AZ198" s="34535"/>
      <c r="BA198" s="34536"/>
      <c r="BB198" s="34537"/>
      <c r="BC198" s="34538"/>
      <c r="BD198" s="34539"/>
      <c r="BE198" s="34540"/>
      <c r="BF198" s="34541"/>
      <c r="BG198" s="34542"/>
      <c r="BH198" s="34543"/>
      <c r="BI198" s="34544"/>
      <c r="BJ198" s="34545"/>
      <c r="BK198" s="34546"/>
      <c r="BL198" s="34547"/>
      <c r="BM198" s="34548"/>
      <c r="BN198" s="34549"/>
      <c r="BO198" s="34550"/>
      <c r="BP198" s="34551"/>
      <c r="BQ198" s="34552"/>
      <c r="BR198" s="34553"/>
      <c r="BS198" s="34554"/>
      <c r="BT198" s="34555"/>
      <c r="BU198" s="34556"/>
      <c r="BV198" s="34557"/>
      <c r="BW198" s="34558"/>
      <c r="BX198" s="34559"/>
      <c r="BY198" s="34560"/>
      <c r="BZ198" s="34561"/>
      <c r="CA198" s="34562"/>
      <c r="CB198" s="34563"/>
      <c r="CC198" s="34564"/>
      <c r="CD198" s="34565"/>
      <c r="CE198" s="34566"/>
      <c r="CF198" s="34567"/>
      <c r="CG198" s="34568"/>
      <c r="CH198" s="34569"/>
      <c r="CI198" s="34570"/>
      <c r="CJ198" s="34571"/>
      <c r="CK198" s="34572"/>
      <c r="CL198" s="34573"/>
      <c r="CM198" s="34574"/>
      <c r="CN198" s="34575"/>
      <c r="CO198" s="34576"/>
      <c r="CP198" s="34577"/>
      <c r="CQ198" s="34578"/>
      <c r="CR198" s="34579"/>
      <c r="CS198" s="34580"/>
      <c r="CT198" s="34581"/>
      <c r="CU198" s="34582"/>
      <c r="CV198" s="33224" t="s">
        <v>623</v>
      </c>
      <c r="CW198" s="33123"/>
      <c r="CX198" s="33124"/>
      <c r="CY198" s="33124" t="str">
        <f>IF(T198="","",T198)</f>
        <v>Добавить значение признака дифференциации</v>
      </c>
      <c r="CZ198" s="33124"/>
      <c r="DA198" s="33124"/>
      <c r="DB198" s="33125">
        <v>0</v>
      </c>
    </row>
    <row s="56241" customFormat="1" customHeight="1" ht="21">
      <c r="A199" s="21621"/>
      <c r="B199" s="21621"/>
      <c r="C199" s="21621"/>
      <c r="D199" s="21621"/>
      <c r="E199" s="21622"/>
      <c r="F199" s="21622" t="s">
        <v>95</v>
      </c>
      <c r="G199" s="21622"/>
      <c r="H199" s="21622"/>
      <c r="I199" s="21638"/>
      <c r="J199" s="21621"/>
      <c r="K199" s="21621"/>
      <c r="L199" s="21624"/>
      <c r="M199" s="21639"/>
      <c r="N199" s="21639"/>
      <c r="O199" s="21639"/>
      <c r="P199" s="21640"/>
      <c r="Q199" s="21640"/>
      <c r="R199" s="21641"/>
      <c r="S199" s="24804"/>
      <c r="T199" s="24805" t="s">
        <v>551</v>
      </c>
      <c r="U199" s="24806"/>
      <c r="V199" s="24807"/>
      <c r="W199" s="24808"/>
      <c r="X199" s="24809"/>
      <c r="Y199" s="24810"/>
      <c r="Z199" s="24811"/>
      <c r="AA199" s="24812"/>
      <c r="AB199" s="24813"/>
      <c r="AC199" s="24814"/>
      <c r="AD199" s="24815"/>
      <c r="AE199" s="24816"/>
      <c r="AF199" s="24817"/>
      <c r="AG199" s="24818"/>
      <c r="AH199" s="24819"/>
      <c r="AI199" s="24820"/>
      <c r="AJ199" s="24821"/>
      <c r="AK199" s="24822"/>
      <c r="AL199" s="24823"/>
      <c r="AM199" s="24824"/>
      <c r="AN199" s="24825"/>
      <c r="AO199" s="24826"/>
      <c r="AP199" s="24827"/>
      <c r="AQ199" s="24828"/>
      <c r="AR199" s="24829"/>
      <c r="AS199" s="24830"/>
      <c r="AT199" s="24831"/>
      <c r="AU199" s="24832"/>
      <c r="AV199" s="24833"/>
      <c r="AW199" s="24834"/>
      <c r="AX199" s="24835"/>
      <c r="AY199" s="24836"/>
      <c r="AZ199" s="24837"/>
      <c r="BA199" s="24838"/>
      <c r="BB199" s="24839"/>
      <c r="BC199" s="24840"/>
      <c r="BD199" s="24841"/>
      <c r="BE199" s="24842"/>
      <c r="BF199" s="24843"/>
      <c r="BG199" s="24844"/>
      <c r="BH199" s="24845"/>
      <c r="BI199" s="24846"/>
      <c r="BJ199" s="24847"/>
      <c r="BK199" s="24848"/>
      <c r="BL199" s="24849"/>
      <c r="BM199" s="24850"/>
      <c r="BN199" s="24851"/>
      <c r="BO199" s="24852"/>
      <c r="BP199" s="24853"/>
      <c r="BQ199" s="24854"/>
      <c r="BR199" s="24855"/>
      <c r="BS199" s="24856"/>
      <c r="BT199" s="24857"/>
      <c r="BU199" s="24858"/>
      <c r="BV199" s="24859"/>
      <c r="BW199" s="24860"/>
      <c r="BX199" s="24861"/>
      <c r="BY199" s="24862"/>
      <c r="BZ199" s="24863"/>
      <c r="CA199" s="24864"/>
      <c r="CB199" s="24865"/>
      <c r="CC199" s="24866"/>
      <c r="CD199" s="24867"/>
      <c r="CE199" s="24868"/>
      <c r="CF199" s="24869"/>
      <c r="CG199" s="24870"/>
      <c r="CH199" s="24871"/>
      <c r="CI199" s="24872"/>
      <c r="CJ199" s="24873"/>
      <c r="CK199" s="24874"/>
      <c r="CL199" s="24875"/>
      <c r="CM199" s="24876"/>
      <c r="CN199" s="24877"/>
      <c r="CO199" s="24878"/>
      <c r="CP199" s="24879"/>
      <c r="CQ199" s="24880"/>
      <c r="CR199" s="24881"/>
      <c r="CS199" s="24882"/>
      <c r="CT199" s="24883"/>
      <c r="CU199" s="24884"/>
      <c r="CV199" s="24885"/>
      <c r="CW199" s="21281"/>
      <c r="CX199" s="21633"/>
      <c r="CY199" s="21633" t="str">
        <f>IF(T199="","",T199)</f>
        <v>Добавить группу потребителей</v>
      </c>
      <c r="CZ199" s="21633"/>
      <c r="DA199" s="21633"/>
      <c r="DB199" s="21020">
        <v>0</v>
      </c>
    </row>
    <row s="56324" customFormat="1" customHeight="1" ht="14.25">
      <c r="A200" s="21621"/>
      <c r="B200" s="21621"/>
      <c r="C200" s="21621"/>
      <c r="D200" s="21621"/>
      <c r="E200" s="21622"/>
      <c r="F200" s="21622" t="s">
        <v>95</v>
      </c>
      <c r="G200" s="21622"/>
      <c r="H200" s="21623"/>
      <c r="I200" s="21621"/>
      <c r="J200" s="21621"/>
      <c r="K200" s="21621"/>
      <c r="L200" s="21624"/>
      <c r="M200" s="21625"/>
      <c r="N200" s="21625"/>
      <c r="O200" s="21264"/>
      <c r="P200" s="21910"/>
      <c r="Q200" s="21911"/>
      <c r="R200" s="21912"/>
      <c r="S200" s="24887"/>
      <c r="T200" s="24888" t="s">
        <v>624</v>
      </c>
      <c r="U200" s="24889"/>
      <c r="V200" s="24890"/>
      <c r="W200" s="24891"/>
      <c r="X200" s="24892"/>
      <c r="Y200" s="24893"/>
      <c r="Z200" s="24894"/>
      <c r="AA200" s="24895"/>
      <c r="AB200" s="24896"/>
      <c r="AC200" s="24897"/>
      <c r="AD200" s="24898"/>
      <c r="AE200" s="24899"/>
      <c r="AF200" s="24900"/>
      <c r="AG200" s="24901"/>
      <c r="AH200" s="24902"/>
      <c r="AI200" s="24903"/>
      <c r="AJ200" s="24904"/>
      <c r="AK200" s="24905"/>
      <c r="AL200" s="24906"/>
      <c r="AM200" s="24907"/>
      <c r="AN200" s="24908"/>
      <c r="AO200" s="24909"/>
      <c r="AP200" s="24910"/>
      <c r="AQ200" s="24911"/>
      <c r="AR200" s="24912"/>
      <c r="AS200" s="24913"/>
      <c r="AT200" s="24914"/>
      <c r="AU200" s="24915"/>
      <c r="AV200" s="24916"/>
      <c r="AW200" s="24917"/>
      <c r="AX200" s="24918"/>
      <c r="AY200" s="24919"/>
      <c r="AZ200" s="24920"/>
      <c r="BA200" s="24921"/>
      <c r="BB200" s="24922"/>
      <c r="BC200" s="24923"/>
      <c r="BD200" s="24924"/>
      <c r="BE200" s="24925"/>
      <c r="BF200" s="24926"/>
      <c r="BG200" s="24927"/>
      <c r="BH200" s="24928"/>
      <c r="BI200" s="24929"/>
      <c r="BJ200" s="24930"/>
      <c r="BK200" s="24931"/>
      <c r="BL200" s="24932"/>
      <c r="BM200" s="24933"/>
      <c r="BN200" s="24934"/>
      <c r="BO200" s="24935"/>
      <c r="BP200" s="24936"/>
      <c r="BQ200" s="24937"/>
      <c r="BR200" s="24938"/>
      <c r="BS200" s="24939"/>
      <c r="BT200" s="24940"/>
      <c r="BU200" s="24941"/>
      <c r="BV200" s="24942"/>
      <c r="BW200" s="24943"/>
      <c r="BX200" s="24944"/>
      <c r="BY200" s="24945"/>
      <c r="BZ200" s="24946"/>
      <c r="CA200" s="24947"/>
      <c r="CB200" s="24948"/>
      <c r="CC200" s="24949"/>
      <c r="CD200" s="24950"/>
      <c r="CE200" s="24951"/>
      <c r="CF200" s="24952"/>
      <c r="CG200" s="24953"/>
      <c r="CH200" s="24954"/>
      <c r="CI200" s="24955"/>
      <c r="CJ200" s="24956"/>
      <c r="CK200" s="24957"/>
      <c r="CL200" s="24958"/>
      <c r="CM200" s="24959"/>
      <c r="CN200" s="24960"/>
      <c r="CO200" s="24961"/>
      <c r="CP200" s="24962"/>
      <c r="CQ200" s="24963"/>
      <c r="CR200" s="24964"/>
      <c r="CS200" s="24965"/>
      <c r="CT200" s="24966"/>
      <c r="CU200" s="24967"/>
      <c r="CV200" s="24968"/>
      <c r="CW200" s="21281"/>
      <c r="CX200" s="21633"/>
      <c r="CY200" s="21633" t="str">
        <f>IF(T200="","",T200)</f>
        <v>Добавить наименование признака дифференциации</v>
      </c>
      <c r="CZ200" s="21633"/>
      <c r="DA200" s="21633"/>
      <c r="DB200" s="21020">
        <v>0</v>
      </c>
    </row>
    <row s="56407" customFormat="1" customHeight="1" ht="14.25">
      <c r="A201" s="21996"/>
      <c r="B201" s="21996"/>
      <c r="C201" s="21996"/>
      <c r="D201" s="21996"/>
      <c r="E201" s="21622"/>
      <c r="F201" s="21623" t="s">
        <v>95</v>
      </c>
      <c r="G201" s="21996"/>
      <c r="H201" s="21996"/>
      <c r="I201" s="21996"/>
      <c r="J201" s="21996"/>
      <c r="K201" s="21996"/>
      <c r="L201" s="21997"/>
      <c r="M201" s="21998"/>
      <c r="N201" s="21998"/>
      <c r="O201" s="21281"/>
      <c r="P201" s="21999"/>
      <c r="Q201" s="22000"/>
      <c r="R201" s="21999"/>
      <c r="S201" s="22001"/>
      <c r="T201" s="22002" t="s">
        <v>290</v>
      </c>
      <c r="U201" s="21260"/>
      <c r="V201" s="21260"/>
      <c r="W201" s="21260"/>
      <c r="X201" s="21260"/>
      <c r="Y201" s="21260"/>
      <c r="Z201" s="21260"/>
      <c r="AA201" s="21260"/>
      <c r="AB201" s="21260"/>
      <c r="AC201" s="21260"/>
      <c r="AD201" s="21260"/>
      <c r="AE201" s="21260"/>
      <c r="AF201" s="21260"/>
      <c r="AG201" s="21260"/>
      <c r="AH201" s="21260"/>
      <c r="AI201" s="21260"/>
      <c r="AJ201" s="21260"/>
      <c r="AK201" s="21260"/>
      <c r="AL201" s="21260"/>
      <c r="AM201" s="21260"/>
      <c r="AN201" s="21260"/>
      <c r="AO201" s="21260"/>
      <c r="AP201" s="21260"/>
      <c r="AQ201" s="21260"/>
      <c r="AR201" s="21260"/>
      <c r="AS201" s="21260"/>
      <c r="AT201" s="21260"/>
      <c r="AU201" s="21260"/>
      <c r="AV201" s="21260"/>
      <c r="AW201" s="21260"/>
      <c r="AX201" s="21260"/>
      <c r="AY201" s="21260"/>
      <c r="AZ201" s="21260"/>
      <c r="BA201" s="21260"/>
      <c r="BB201" s="21260"/>
      <c r="BC201" s="21260"/>
      <c r="BD201" s="21260"/>
      <c r="BE201" s="21260"/>
      <c r="BF201" s="21260"/>
      <c r="BG201" s="21260"/>
      <c r="BH201" s="21260"/>
      <c r="BI201" s="21260"/>
      <c r="BJ201" s="21260"/>
      <c r="BK201" s="21260"/>
      <c r="BL201" s="21260"/>
      <c r="BM201" s="21260"/>
      <c r="BN201" s="21260"/>
      <c r="BO201" s="21260"/>
      <c r="BP201" s="21260"/>
      <c r="BQ201" s="21260"/>
      <c r="BR201" s="21260"/>
      <c r="BS201" s="21260"/>
      <c r="BT201" s="21260"/>
      <c r="BU201" s="21260"/>
      <c r="BV201" s="21260"/>
      <c r="BW201" s="21260"/>
      <c r="BX201" s="21260"/>
      <c r="BY201" s="21260"/>
      <c r="BZ201" s="21260"/>
      <c r="CA201" s="21260"/>
      <c r="CB201" s="21260"/>
      <c r="CC201" s="21260"/>
      <c r="CD201" s="21260"/>
      <c r="CE201" s="21260"/>
      <c r="CF201" s="21260"/>
      <c r="CG201" s="21260"/>
      <c r="CH201" s="21260"/>
      <c r="CI201" s="21260"/>
      <c r="CJ201" s="21260"/>
      <c r="CK201" s="21260"/>
      <c r="CL201" s="21260"/>
      <c r="CM201" s="21260"/>
      <c r="CN201" s="21260"/>
      <c r="CO201" s="21260"/>
      <c r="CP201" s="21260"/>
      <c r="CQ201" s="21260"/>
      <c r="CR201" s="21260"/>
      <c r="CS201" s="21260"/>
      <c r="CT201" s="21260"/>
      <c r="CU201" s="21260"/>
      <c r="CV201" s="21260"/>
      <c r="CW201" s="21281"/>
      <c r="CX201" s="21633"/>
      <c r="CY201" s="21633" t="str">
        <f>IF(T201="","",T201)</f>
        <v>Добавить централизованную систему для дифференциации</v>
      </c>
      <c r="CZ201" s="21633"/>
      <c r="DA201" s="21633"/>
      <c r="DB201" s="21281">
        <v>0</v>
      </c>
    </row>
    <row s="56408" customFormat="1" customHeight="1" ht="23.25">
      <c r="A202" s="21621"/>
      <c r="B202" s="21621" t="s">
        <v>332</v>
      </c>
      <c r="C202" s="21621"/>
      <c r="D202" s="21621"/>
      <c r="E202" s="21622"/>
      <c r="F202" s="21623" t="s">
        <v>140</v>
      </c>
      <c r="G202" s="21621"/>
      <c r="H202" s="21621"/>
      <c r="I202" s="21621"/>
      <c r="J202" s="21621"/>
      <c r="K202" s="21621"/>
      <c r="L202" s="21624"/>
      <c r="M202" s="21625"/>
      <c r="N202" s="21625"/>
      <c r="O202" s="21625"/>
      <c r="P202" s="21626"/>
      <c r="Q202" s="21627"/>
      <c r="R202" s="21628"/>
      <c r="S202" s="21629" t="str">
        <f>INDEX(PT_DIFFERENTIATION_NUM_TER,MATCH(B202,PT_DIFFERENTIATION_TER_ID,0))</f>
        <v>1.9</v>
      </c>
      <c r="T202" s="21630" t="s">
        <v>536</v>
      </c>
      <c r="U202" s="21631"/>
      <c r="V202" s="21025"/>
      <c r="W202" s="21026"/>
      <c r="X202" s="21026"/>
      <c r="Y202" s="21026"/>
      <c r="Z202" s="21026"/>
      <c r="AA202" s="21026"/>
      <c r="AB202" s="21027"/>
      <c r="AC202" s="21025" t="str">
        <f>INDEX(PT_DIFFERENTIATION_TER,MATCH(B202,PT_DIFFERENTIATION_TER_ID,0))</f>
        <v>Территория 9</v>
      </c>
      <c r="AD202" s="21026"/>
      <c r="AE202" s="21026"/>
      <c r="AF202" s="21026"/>
      <c r="AG202" s="21026"/>
      <c r="AH202" s="21026"/>
      <c r="AI202" s="21026"/>
      <c r="AJ202" s="21025"/>
      <c r="AK202" s="21026"/>
      <c r="AL202" s="21026"/>
      <c r="AM202" s="21026"/>
      <c r="AN202" s="21026"/>
      <c r="AO202" s="21026"/>
      <c r="AP202" s="21027"/>
      <c r="AQ202" s="21025"/>
      <c r="AR202" s="21026"/>
      <c r="AS202" s="21026"/>
      <c r="AT202" s="21026"/>
      <c r="AU202" s="21026"/>
      <c r="AV202" s="21026"/>
      <c r="AW202" s="21027"/>
      <c r="AX202" s="21025"/>
      <c r="AY202" s="21026"/>
      <c r="AZ202" s="21026"/>
      <c r="BA202" s="21026"/>
      <c r="BB202" s="21026"/>
      <c r="BC202" s="21026"/>
      <c r="BD202" s="21027"/>
      <c r="BE202" s="21025"/>
      <c r="BF202" s="21026"/>
      <c r="BG202" s="21026"/>
      <c r="BH202" s="21026"/>
      <c r="BI202" s="21026"/>
      <c r="BJ202" s="21026"/>
      <c r="BK202" s="21027"/>
      <c r="BL202" s="21025"/>
      <c r="BM202" s="21026"/>
      <c r="BN202" s="21026"/>
      <c r="BO202" s="21026"/>
      <c r="BP202" s="21026"/>
      <c r="BQ202" s="21026"/>
      <c r="BR202" s="21027"/>
      <c r="BS202" s="21025"/>
      <c r="BT202" s="21026"/>
      <c r="BU202" s="21026"/>
      <c r="BV202" s="21026"/>
      <c r="BW202" s="21026"/>
      <c r="BX202" s="21026"/>
      <c r="BY202" s="21027"/>
      <c r="BZ202" s="21025"/>
      <c r="CA202" s="21026"/>
      <c r="CB202" s="21026"/>
      <c r="CC202" s="21026"/>
      <c r="CD202" s="21026"/>
      <c r="CE202" s="21026"/>
      <c r="CF202" s="21027"/>
      <c r="CG202" s="21025"/>
      <c r="CH202" s="21026"/>
      <c r="CI202" s="21026"/>
      <c r="CJ202" s="21026"/>
      <c r="CK202" s="21026"/>
      <c r="CL202" s="21026"/>
      <c r="CM202" s="21027"/>
      <c r="CN202" s="21025"/>
      <c r="CO202" s="21026"/>
      <c r="CP202" s="21026"/>
      <c r="CQ202" s="21026"/>
      <c r="CR202" s="21026"/>
      <c r="CS202" s="21026"/>
      <c r="CT202" s="21027"/>
      <c r="CU202" s="21027"/>
      <c r="CV202" s="21632" t="s">
        <v>537</v>
      </c>
      <c r="CW202" s="21281"/>
      <c r="CX202" s="21633"/>
      <c r="CY202" s="21633" t="str">
        <f>IF(T202="","",T202)</f>
        <v>Территория действия тарифа</v>
      </c>
      <c r="CZ202" s="21633"/>
      <c r="DA202" s="21633"/>
      <c r="DB202" s="21020">
        <v>0</v>
      </c>
    </row>
    <row s="56409" customFormat="1" customHeight="1" ht="23.25">
      <c r="A203" s="21621"/>
      <c r="B203" s="21621"/>
      <c r="C203" s="21621" t="s">
        <v>333</v>
      </c>
      <c r="D203" s="21621"/>
      <c r="E203" s="21622"/>
      <c r="F203" s="21622" t="s">
        <v>135</v>
      </c>
      <c r="G203" s="21623">
        <v>1</v>
      </c>
      <c r="H203" s="21621"/>
      <c r="I203" s="21621"/>
      <c r="J203" s="21621"/>
      <c r="K203" s="21621"/>
      <c r="L203" s="21624"/>
      <c r="M203" s="21625"/>
      <c r="N203" s="21625"/>
      <c r="O203" s="21625"/>
      <c r="P203" s="21635"/>
      <c r="Q203" s="21627"/>
      <c r="R203" s="21628"/>
      <c r="S203" s="21629" t="str">
        <f>INDEX(PT_DIFFERENTIATION_NUM_CS,MATCH(C203,PT_DIFFERENTIATION_CS_ID,0))</f>
        <v>1.9.1</v>
      </c>
      <c r="T203" s="21636" t="s">
        <v>617</v>
      </c>
      <c r="U203" s="21631"/>
      <c r="V203" s="21025"/>
      <c r="W203" s="21026"/>
      <c r="X203" s="21026"/>
      <c r="Y203" s="21026"/>
      <c r="Z203" s="21026"/>
      <c r="AA203" s="21026"/>
      <c r="AB203" s="21027"/>
      <c r="AC203" s="21025" t="str">
        <f>INDEX(PT_DIFFERENTIATION_CS,MATCH(C203,PT_DIFFERENTIATION_CS_ID,0))</f>
        <v>с. Черниговка, с. Горный Хутор</v>
      </c>
      <c r="AD203" s="21026"/>
      <c r="AE203" s="21026"/>
      <c r="AF203" s="21026"/>
      <c r="AG203" s="21026"/>
      <c r="AH203" s="21026"/>
      <c r="AI203" s="21026"/>
      <c r="AJ203" s="21025"/>
      <c r="AK203" s="21026"/>
      <c r="AL203" s="21026"/>
      <c r="AM203" s="21026"/>
      <c r="AN203" s="21026"/>
      <c r="AO203" s="21026"/>
      <c r="AP203" s="21027"/>
      <c r="AQ203" s="21025"/>
      <c r="AR203" s="21026"/>
      <c r="AS203" s="21026"/>
      <c r="AT203" s="21026"/>
      <c r="AU203" s="21026"/>
      <c r="AV203" s="21026"/>
      <c r="AW203" s="21027"/>
      <c r="AX203" s="21025"/>
      <c r="AY203" s="21026"/>
      <c r="AZ203" s="21026"/>
      <c r="BA203" s="21026"/>
      <c r="BB203" s="21026"/>
      <c r="BC203" s="21026"/>
      <c r="BD203" s="21027"/>
      <c r="BE203" s="21025"/>
      <c r="BF203" s="21026"/>
      <c r="BG203" s="21026"/>
      <c r="BH203" s="21026"/>
      <c r="BI203" s="21026"/>
      <c r="BJ203" s="21026"/>
      <c r="BK203" s="21027"/>
      <c r="BL203" s="21025"/>
      <c r="BM203" s="21026"/>
      <c r="BN203" s="21026"/>
      <c r="BO203" s="21026"/>
      <c r="BP203" s="21026"/>
      <c r="BQ203" s="21026"/>
      <c r="BR203" s="21027"/>
      <c r="BS203" s="21025"/>
      <c r="BT203" s="21026"/>
      <c r="BU203" s="21026"/>
      <c r="BV203" s="21026"/>
      <c r="BW203" s="21026"/>
      <c r="BX203" s="21026"/>
      <c r="BY203" s="21027"/>
      <c r="BZ203" s="21025"/>
      <c r="CA203" s="21026"/>
      <c r="CB203" s="21026"/>
      <c r="CC203" s="21026"/>
      <c r="CD203" s="21026"/>
      <c r="CE203" s="21026"/>
      <c r="CF203" s="21027"/>
      <c r="CG203" s="21025"/>
      <c r="CH203" s="21026"/>
      <c r="CI203" s="21026"/>
      <c r="CJ203" s="21026"/>
      <c r="CK203" s="21026"/>
      <c r="CL203" s="21026"/>
      <c r="CM203" s="21027"/>
      <c r="CN203" s="21025"/>
      <c r="CO203" s="21026"/>
      <c r="CP203" s="21026"/>
      <c r="CQ203" s="21026"/>
      <c r="CR203" s="21026"/>
      <c r="CS203" s="21026"/>
      <c r="CT203" s="21027"/>
      <c r="CU203" s="21027"/>
      <c r="CV203" s="21632" t="s">
        <v>618</v>
      </c>
      <c r="CW203" s="21281"/>
      <c r="CX203" s="21633"/>
      <c r="CY203" s="21633" t="str">
        <f>IF(T203="","",T203)</f>
        <v>Наименование централизованной системы холодного водоснабжения</v>
      </c>
      <c r="CZ203" s="21633"/>
      <c r="DA203" s="21633"/>
      <c r="DB203" s="21020">
        <v>0</v>
      </c>
    </row>
    <row s="56410" customFormat="1" customHeight="1" ht="23.25">
      <c r="A204" s="21621"/>
      <c r="B204" s="21621"/>
      <c r="C204" s="21621"/>
      <c r="D204" s="21621"/>
      <c r="E204" s="21622"/>
      <c r="F204" s="21622" t="s">
        <v>135</v>
      </c>
      <c r="G204" s="21622"/>
      <c r="H204" s="21622"/>
      <c r="I204" s="21638" t="str">
        <f>S203&amp;".1"</f>
        <v>1.9.1.1</v>
      </c>
      <c r="J204" s="21621"/>
      <c r="K204" s="21621"/>
      <c r="L204" s="21624"/>
      <c r="M204" s="21639"/>
      <c r="N204" s="21639"/>
      <c r="O204" s="21639"/>
      <c r="P204" s="21640">
        <v>1</v>
      </c>
      <c r="Q204" s="21640"/>
      <c r="R204" s="21641"/>
      <c r="S204" s="21629" t="str">
        <f>$I204</f>
        <v>1.9.1.1</v>
      </c>
      <c r="T204" s="21642" t="s">
        <v>619</v>
      </c>
      <c r="U204" s="21631"/>
      <c r="V204" s="21038"/>
      <c r="W204" s="21039"/>
      <c r="X204" s="21039"/>
      <c r="Y204" s="21039"/>
      <c r="Z204" s="21039"/>
      <c r="AA204" s="21039"/>
      <c r="AB204" s="21040"/>
      <c r="AC204" s="21643"/>
      <c r="AD204" s="21644"/>
      <c r="AE204" s="21644"/>
      <c r="AF204" s="21644"/>
      <c r="AG204" s="21644"/>
      <c r="AH204" s="21644"/>
      <c r="AI204" s="21644"/>
      <c r="AJ204" s="21038"/>
      <c r="AK204" s="21039"/>
      <c r="AL204" s="21039"/>
      <c r="AM204" s="21039"/>
      <c r="AN204" s="21039"/>
      <c r="AO204" s="21039"/>
      <c r="AP204" s="21040"/>
      <c r="AQ204" s="21038"/>
      <c r="AR204" s="21039"/>
      <c r="AS204" s="21039"/>
      <c r="AT204" s="21039"/>
      <c r="AU204" s="21039"/>
      <c r="AV204" s="21039"/>
      <c r="AW204" s="21040"/>
      <c r="AX204" s="21038"/>
      <c r="AY204" s="21039"/>
      <c r="AZ204" s="21039"/>
      <c r="BA204" s="21039"/>
      <c r="BB204" s="21039"/>
      <c r="BC204" s="21039"/>
      <c r="BD204" s="21040"/>
      <c r="BE204" s="21038"/>
      <c r="BF204" s="21039"/>
      <c r="BG204" s="21039"/>
      <c r="BH204" s="21039"/>
      <c r="BI204" s="21039"/>
      <c r="BJ204" s="21039"/>
      <c r="BK204" s="21040"/>
      <c r="BL204" s="21038"/>
      <c r="BM204" s="21039"/>
      <c r="BN204" s="21039"/>
      <c r="BO204" s="21039"/>
      <c r="BP204" s="21039"/>
      <c r="BQ204" s="21039"/>
      <c r="BR204" s="21040"/>
      <c r="BS204" s="21038"/>
      <c r="BT204" s="21039"/>
      <c r="BU204" s="21039"/>
      <c r="BV204" s="21039"/>
      <c r="BW204" s="21039"/>
      <c r="BX204" s="21039"/>
      <c r="BY204" s="21040"/>
      <c r="BZ204" s="21038"/>
      <c r="CA204" s="21039"/>
      <c r="CB204" s="21039"/>
      <c r="CC204" s="21039"/>
      <c r="CD204" s="21039"/>
      <c r="CE204" s="21039"/>
      <c r="CF204" s="21040"/>
      <c r="CG204" s="21038"/>
      <c r="CH204" s="21039"/>
      <c r="CI204" s="21039"/>
      <c r="CJ204" s="21039"/>
      <c r="CK204" s="21039"/>
      <c r="CL204" s="21039"/>
      <c r="CM204" s="21040"/>
      <c r="CN204" s="21038"/>
      <c r="CO204" s="21039"/>
      <c r="CP204" s="21039"/>
      <c r="CQ204" s="21039"/>
      <c r="CR204" s="21039"/>
      <c r="CS204" s="21039"/>
      <c r="CT204" s="21040"/>
      <c r="CU204" s="21645"/>
      <c r="CV204" s="21632" t="s">
        <v>620</v>
      </c>
      <c r="CW204" s="21281"/>
      <c r="CX204" s="21633"/>
      <c r="CY204" s="21633" t="str">
        <f>IF(T204="","",T204)</f>
        <v>Наименование признака дифференциации</v>
      </c>
      <c r="CZ204" s="21633"/>
      <c r="DA204" s="21633"/>
      <c r="DB204" s="21020">
        <v>0</v>
      </c>
    </row>
    <row s="56411" customFormat="1" customHeight="1" ht="23.25">
      <c r="A205" s="21621"/>
      <c r="B205" s="21621"/>
      <c r="C205" s="21621"/>
      <c r="D205" s="21621"/>
      <c r="E205" s="21622"/>
      <c r="F205" s="21622" t="s">
        <v>135</v>
      </c>
      <c r="G205" s="21622"/>
      <c r="H205" s="21622"/>
      <c r="I205" s="21647"/>
      <c r="J205" s="21638" t="str">
        <f>I204&amp;".1"</f>
        <v>1.9.1.1.1</v>
      </c>
      <c r="K205" s="21621"/>
      <c r="L205" s="21624" t="s">
        <v>545</v>
      </c>
      <c r="M205" s="21639"/>
      <c r="N205" s="21639"/>
      <c r="O205" s="21639"/>
      <c r="P205" s="21640"/>
      <c r="Q205" s="21640">
        <v>1</v>
      </c>
      <c r="R205" s="21648"/>
      <c r="S205" s="21629" t="str">
        <f>$J205</f>
        <v>1.9.1.1.1</v>
      </c>
      <c r="T205" s="21649" t="s">
        <v>546</v>
      </c>
      <c r="U205" s="21631"/>
      <c r="V205" s="21045"/>
      <c r="W205" s="21046"/>
      <c r="X205" s="21046"/>
      <c r="Y205" s="21046"/>
      <c r="Z205" s="21046"/>
      <c r="AA205" s="21046"/>
      <c r="AB205" s="21047"/>
      <c r="AC205" s="21045" t="s">
        <v>632</v>
      </c>
      <c r="AD205" s="21046"/>
      <c r="AE205" s="21046"/>
      <c r="AF205" s="21046"/>
      <c r="AG205" s="21046"/>
      <c r="AH205" s="21046"/>
      <c r="AI205" s="21046"/>
      <c r="AJ205" s="21045"/>
      <c r="AK205" s="21046"/>
      <c r="AL205" s="21046"/>
      <c r="AM205" s="21046"/>
      <c r="AN205" s="21046"/>
      <c r="AO205" s="21046"/>
      <c r="AP205" s="21047"/>
      <c r="AQ205" s="21045"/>
      <c r="AR205" s="21046"/>
      <c r="AS205" s="21046"/>
      <c r="AT205" s="21046"/>
      <c r="AU205" s="21046"/>
      <c r="AV205" s="21046"/>
      <c r="AW205" s="21047"/>
      <c r="AX205" s="21045"/>
      <c r="AY205" s="21046"/>
      <c r="AZ205" s="21046"/>
      <c r="BA205" s="21046"/>
      <c r="BB205" s="21046"/>
      <c r="BC205" s="21046"/>
      <c r="BD205" s="21047"/>
      <c r="BE205" s="21045"/>
      <c r="BF205" s="21046"/>
      <c r="BG205" s="21046"/>
      <c r="BH205" s="21046"/>
      <c r="BI205" s="21046"/>
      <c r="BJ205" s="21046"/>
      <c r="BK205" s="21047"/>
      <c r="BL205" s="21045"/>
      <c r="BM205" s="21046"/>
      <c r="BN205" s="21046"/>
      <c r="BO205" s="21046"/>
      <c r="BP205" s="21046"/>
      <c r="BQ205" s="21046"/>
      <c r="BR205" s="21047"/>
      <c r="BS205" s="21045"/>
      <c r="BT205" s="21046"/>
      <c r="BU205" s="21046"/>
      <c r="BV205" s="21046"/>
      <c r="BW205" s="21046"/>
      <c r="BX205" s="21046"/>
      <c r="BY205" s="21047"/>
      <c r="BZ205" s="21045"/>
      <c r="CA205" s="21046"/>
      <c r="CB205" s="21046"/>
      <c r="CC205" s="21046"/>
      <c r="CD205" s="21046"/>
      <c r="CE205" s="21046"/>
      <c r="CF205" s="21047"/>
      <c r="CG205" s="21045"/>
      <c r="CH205" s="21046"/>
      <c r="CI205" s="21046"/>
      <c r="CJ205" s="21046"/>
      <c r="CK205" s="21046"/>
      <c r="CL205" s="21046"/>
      <c r="CM205" s="21047"/>
      <c r="CN205" s="21045"/>
      <c r="CO205" s="21046"/>
      <c r="CP205" s="21046"/>
      <c r="CQ205" s="21046"/>
      <c r="CR205" s="21046"/>
      <c r="CS205" s="21046"/>
      <c r="CT205" s="21047"/>
      <c r="CU205" s="21047"/>
      <c r="CV205" s="21650" t="s">
        <v>621</v>
      </c>
      <c r="CW205" s="21281"/>
      <c r="CX205" s="21633"/>
      <c r="CY205" s="21633" t="str">
        <f>IF(T205="","",T205)</f>
        <v>Группа потребителей</v>
      </c>
      <c r="CZ205" s="21633"/>
      <c r="DA205" s="21633"/>
      <c r="DB205" s="21020">
        <v>0</v>
      </c>
    </row>
    <row s="56412" customFormat="1" customHeight="1" ht="23.25">
      <c r="A206" s="21621"/>
      <c r="B206" s="21621"/>
      <c r="C206" s="21621"/>
      <c r="D206" s="21621"/>
      <c r="E206" s="21622"/>
      <c r="F206" s="21622" t="s">
        <v>135</v>
      </c>
      <c r="G206" s="21622"/>
      <c r="H206" s="21622"/>
      <c r="I206" s="21647"/>
      <c r="J206" s="21647"/>
      <c r="K206" s="21638" t="str">
        <f>J205&amp;".1"</f>
        <v>1.9.1.1.1.1</v>
      </c>
      <c r="L206" s="21624"/>
      <c r="M206" s="21639"/>
      <c r="N206" s="21639"/>
      <c r="O206" s="21639"/>
      <c r="P206" s="21640"/>
      <c r="Q206" s="21640"/>
      <c r="R206" s="21648">
        <v>1</v>
      </c>
      <c r="S206" s="21629" t="str">
        <f>$K206</f>
        <v>1.9.1.1.1.1</v>
      </c>
      <c r="T206" s="21652"/>
      <c r="U206" s="21631"/>
      <c r="V206" s="21053"/>
      <c r="W206" s="21053"/>
      <c r="X206" s="21054"/>
      <c r="Y206" s="21055"/>
      <c r="Z206" s="21056" t="s">
        <v>63</v>
      </c>
      <c r="AA206" s="21055"/>
      <c r="AB206" s="21056" t="s">
        <v>63</v>
      </c>
      <c r="AC206" s="21053">
        <v>42.06</v>
      </c>
      <c r="AD206" s="21053"/>
      <c r="AE206" s="21054"/>
      <c r="AF206" s="44875">
        <v>45292.46375</v>
      </c>
      <c r="AG206" s="21056" t="s">
        <v>63</v>
      </c>
      <c r="AH206" s="44876">
        <v>45473.46392361111</v>
      </c>
      <c r="AI206" s="21056" t="s">
        <v>63</v>
      </c>
      <c r="AJ206" s="21053">
        <v>54.67</v>
      </c>
      <c r="AK206" s="21053"/>
      <c r="AL206" s="21054"/>
      <c r="AM206" s="44875">
        <v>45474.464421296296</v>
      </c>
      <c r="AN206" s="21056" t="s">
        <v>63</v>
      </c>
      <c r="AO206" s="44875">
        <v>45657.46460648148</v>
      </c>
      <c r="AP206" s="21056" t="s">
        <v>63</v>
      </c>
      <c r="AQ206" s="21053">
        <v>54.67</v>
      </c>
      <c r="AR206" s="21053"/>
      <c r="AS206" s="21054"/>
      <c r="AT206" s="44875">
        <v>45658.465</v>
      </c>
      <c r="AU206" s="21056" t="s">
        <v>63</v>
      </c>
      <c r="AV206" s="44875">
        <v>45838.46524305556</v>
      </c>
      <c r="AW206" s="21056" t="s">
        <v>63</v>
      </c>
      <c r="AX206" s="21053">
        <v>65.6</v>
      </c>
      <c r="AY206" s="21053"/>
      <c r="AZ206" s="21054"/>
      <c r="BA206" s="44875">
        <v>45839.46581018518</v>
      </c>
      <c r="BB206" s="21056" t="s">
        <v>63</v>
      </c>
      <c r="BC206" s="44875">
        <v>46022.46604166667</v>
      </c>
      <c r="BD206" s="21056" t="s">
        <v>63</v>
      </c>
      <c r="BE206" s="21053">
        <v>65.6</v>
      </c>
      <c r="BF206" s="21053"/>
      <c r="BG206" s="21054"/>
      <c r="BH206" s="44875">
        <v>46023.466458333336</v>
      </c>
      <c r="BI206" s="21056" t="s">
        <v>63</v>
      </c>
      <c r="BJ206" s="44875">
        <v>46203.46671296296</v>
      </c>
      <c r="BK206" s="21056" t="s">
        <v>63</v>
      </c>
      <c r="BL206" s="21053">
        <v>68.88</v>
      </c>
      <c r="BM206" s="21053"/>
      <c r="BN206" s="21054"/>
      <c r="BO206" s="44875">
        <v>46204.46738425926</v>
      </c>
      <c r="BP206" s="21056" t="s">
        <v>63</v>
      </c>
      <c r="BQ206" s="44875">
        <v>46387.46771990741</v>
      </c>
      <c r="BR206" s="21056" t="s">
        <v>63</v>
      </c>
      <c r="BS206" s="21053">
        <v>68.88</v>
      </c>
      <c r="BT206" s="21053"/>
      <c r="BU206" s="21054"/>
      <c r="BV206" s="44875">
        <v>46388.468125</v>
      </c>
      <c r="BW206" s="21056" t="s">
        <v>63</v>
      </c>
      <c r="BX206" s="44875">
        <v>46568.46837962963</v>
      </c>
      <c r="BY206" s="21056" t="s">
        <v>63</v>
      </c>
      <c r="BZ206" s="21053">
        <v>71.64</v>
      </c>
      <c r="CA206" s="21053"/>
      <c r="CB206" s="21054"/>
      <c r="CC206" s="44875">
        <v>46569.46905092592</v>
      </c>
      <c r="CD206" s="21056" t="s">
        <v>63</v>
      </c>
      <c r="CE206" s="44875">
        <v>46752.46953703704</v>
      </c>
      <c r="CF206" s="21056" t="s">
        <v>63</v>
      </c>
      <c r="CG206" s="21053">
        <v>71.64</v>
      </c>
      <c r="CH206" s="21053"/>
      <c r="CI206" s="21054"/>
      <c r="CJ206" s="44875">
        <v>46753.46969907408</v>
      </c>
      <c r="CK206" s="21056" t="s">
        <v>63</v>
      </c>
      <c r="CL206" s="44875">
        <v>46934.470138888886</v>
      </c>
      <c r="CM206" s="21056" t="s">
        <v>63</v>
      </c>
      <c r="CN206" s="21053">
        <v>72.41</v>
      </c>
      <c r="CO206" s="21053"/>
      <c r="CP206" s="21054"/>
      <c r="CQ206" s="44875">
        <v>46935.47074074074</v>
      </c>
      <c r="CR206" s="21056" t="s">
        <v>63</v>
      </c>
      <c r="CS206" s="44875">
        <v>47118.47100694444</v>
      </c>
      <c r="CT206" s="21056" t="s">
        <v>63</v>
      </c>
      <c r="CU206" s="21653"/>
      <c r="CV206"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06" s="21281">
        <f>STRCHECKDATE(V207:CU207)</f>
      </c>
      <c r="CX206" s="21633"/>
      <c r="CY206" s="21633" t="str">
        <f>IF(T206="","",T206)</f>
        <v/>
      </c>
      <c r="CZ206" s="21633"/>
      <c r="DA206" s="21633"/>
      <c r="DB206" s="21020">
        <v>0</v>
      </c>
    </row>
    <row s="56413" customFormat="1" customHeight="1" ht="14.25">
      <c r="A207" s="21621"/>
      <c r="B207" s="21621"/>
      <c r="C207" s="21621"/>
      <c r="D207" s="21621"/>
      <c r="E207" s="21622"/>
      <c r="F207" s="21622" t="s">
        <v>135</v>
      </c>
      <c r="G207" s="21622"/>
      <c r="H207" s="21622"/>
      <c r="I207" s="21647"/>
      <c r="J207" s="21647"/>
      <c r="K207" s="21638"/>
      <c r="L207" s="21624"/>
      <c r="M207" s="21639"/>
      <c r="N207" s="21639"/>
      <c r="O207" s="21639"/>
      <c r="P207" s="21640"/>
      <c r="Q207" s="21640"/>
      <c r="R207" s="21648"/>
      <c r="S207" s="21656"/>
      <c r="T207" s="21631"/>
      <c r="U207" s="21631"/>
      <c r="V207" s="21063"/>
      <c r="W207" s="21063"/>
      <c r="X207" s="21064" t="str">
        <f>Y206&amp;"-"&amp;AA206</f>
        <v>-</v>
      </c>
      <c r="Y207" s="21065"/>
      <c r="Z207" s="21056"/>
      <c r="AA207" s="21065"/>
      <c r="AB207" s="21056"/>
      <c r="AC207" s="21063"/>
      <c r="AD207" s="21063"/>
      <c r="AE207" s="21064" t="str">
        <f>AF206&amp;"-"&amp;AH206</f>
        <v>45292.46375-45473.46392361111</v>
      </c>
      <c r="AF207" s="21065"/>
      <c r="AG207" s="21056"/>
      <c r="AH207" s="21324"/>
      <c r="AI207" s="21056"/>
      <c r="AJ207" s="21063"/>
      <c r="AK207" s="21063"/>
      <c r="AL207" s="21064" t="str">
        <f>AM206&amp;"-"&amp;AO206</f>
        <v>45474.464421296296-45657.46460648148</v>
      </c>
      <c r="AM207" s="21065"/>
      <c r="AN207" s="21056"/>
      <c r="AO207" s="21065"/>
      <c r="AP207" s="21056"/>
      <c r="AQ207" s="21063"/>
      <c r="AR207" s="21063"/>
      <c r="AS207" s="21064" t="str">
        <f>AT206&amp;"-"&amp;AV206</f>
        <v>45658.465-45838.46524305556</v>
      </c>
      <c r="AT207" s="21065"/>
      <c r="AU207" s="21056"/>
      <c r="AV207" s="21065"/>
      <c r="AW207" s="21056"/>
      <c r="AX207" s="21063"/>
      <c r="AY207" s="21063"/>
      <c r="AZ207" s="21064" t="str">
        <f>BA206&amp;"-"&amp;BC206</f>
        <v>45839.46581018518-46022.46604166667</v>
      </c>
      <c r="BA207" s="21065"/>
      <c r="BB207" s="21056"/>
      <c r="BC207" s="21065"/>
      <c r="BD207" s="21056"/>
      <c r="BE207" s="21063"/>
      <c r="BF207" s="21063"/>
      <c r="BG207" s="21064" t="str">
        <f>BH206&amp;"-"&amp;BJ206</f>
        <v>46023.466458333336-46203.46671296296</v>
      </c>
      <c r="BH207" s="21065"/>
      <c r="BI207" s="21056"/>
      <c r="BJ207" s="21065"/>
      <c r="BK207" s="21056"/>
      <c r="BL207" s="21063"/>
      <c r="BM207" s="21063"/>
      <c r="BN207" s="21064" t="str">
        <f>BO206&amp;"-"&amp;BQ206</f>
        <v>46204.46738425926-46387.46771990741</v>
      </c>
      <c r="BO207" s="21065"/>
      <c r="BP207" s="21056"/>
      <c r="BQ207" s="21065"/>
      <c r="BR207" s="21056"/>
      <c r="BS207" s="21063"/>
      <c r="BT207" s="21063"/>
      <c r="BU207" s="21064" t="str">
        <f>BV206&amp;"-"&amp;BX206</f>
        <v>46388.468125-46568.46837962963</v>
      </c>
      <c r="BV207" s="21065"/>
      <c r="BW207" s="21056"/>
      <c r="BX207" s="21065"/>
      <c r="BY207" s="21056"/>
      <c r="BZ207" s="21063"/>
      <c r="CA207" s="21063"/>
      <c r="CB207" s="21064" t="str">
        <f>CC206&amp;"-"&amp;CE206</f>
        <v>46569.46905092592-46752.46953703704</v>
      </c>
      <c r="CC207" s="21065"/>
      <c r="CD207" s="21056"/>
      <c r="CE207" s="21065"/>
      <c r="CF207" s="21056"/>
      <c r="CG207" s="21063"/>
      <c r="CH207" s="21063"/>
      <c r="CI207" s="21064" t="str">
        <f>CJ206&amp;"-"&amp;CL206</f>
        <v>46753.46969907408-46934.470138888886</v>
      </c>
      <c r="CJ207" s="21065"/>
      <c r="CK207" s="21056"/>
      <c r="CL207" s="21065"/>
      <c r="CM207" s="21056"/>
      <c r="CN207" s="21063"/>
      <c r="CO207" s="21063"/>
      <c r="CP207" s="21064" t="str">
        <f>CQ206&amp;"-"&amp;CS206</f>
        <v>46935.47074074074-47118.47100694444</v>
      </c>
      <c r="CQ207" s="21065"/>
      <c r="CR207" s="21056"/>
      <c r="CS207" s="21065"/>
      <c r="CT207" s="21056"/>
      <c r="CU207" s="21657"/>
      <c r="CV207" s="21654"/>
      <c r="CW207" s="21281"/>
      <c r="CX207" s="21633"/>
      <c r="CY207" s="21633" t="str">
        <f>IF(T207="","",T207)</f>
        <v/>
      </c>
      <c r="CZ207" s="21633"/>
      <c r="DA207" s="21633"/>
      <c r="DB207" s="21020">
        <v>0</v>
      </c>
    </row>
    <row s="56414" customFormat="1" customHeight="1" ht="21">
      <c r="A208" s="21621"/>
      <c r="B208" s="21621"/>
      <c r="C208" s="21621"/>
      <c r="D208" s="21621"/>
      <c r="E208" s="21622"/>
      <c r="F208" s="21622" t="s">
        <v>135</v>
      </c>
      <c r="G208" s="21622"/>
      <c r="H208" s="21622"/>
      <c r="I208" s="21647"/>
      <c r="J208" s="21638"/>
      <c r="K208" s="21621"/>
      <c r="L208" s="21624"/>
      <c r="M208" s="21639"/>
      <c r="N208" s="21639"/>
      <c r="O208" s="21639"/>
      <c r="P208" s="21640"/>
      <c r="Q208" s="21640"/>
      <c r="R208" s="21641"/>
      <c r="S208" s="24977"/>
      <c r="T208" s="24978" t="s">
        <v>622</v>
      </c>
      <c r="U208" s="24979"/>
      <c r="V208" s="24980"/>
      <c r="W208" s="24981"/>
      <c r="X208" s="24982"/>
      <c r="Y208" s="24983"/>
      <c r="Z208" s="24984"/>
      <c r="AA208" s="24985"/>
      <c r="AB208" s="24986"/>
      <c r="AC208" s="24987"/>
      <c r="AD208" s="24988"/>
      <c r="AE208" s="24989"/>
      <c r="AF208" s="24990"/>
      <c r="AG208" s="24991"/>
      <c r="AH208" s="24992"/>
      <c r="AI208" s="24993"/>
      <c r="AJ208" s="24994"/>
      <c r="AK208" s="24995"/>
      <c r="AL208" s="24996"/>
      <c r="AM208" s="24997"/>
      <c r="AN208" s="24998"/>
      <c r="AO208" s="24999"/>
      <c r="AP208" s="25000"/>
      <c r="AQ208" s="25001"/>
      <c r="AR208" s="25002"/>
      <c r="AS208" s="25003"/>
      <c r="AT208" s="25004"/>
      <c r="AU208" s="25005"/>
      <c r="AV208" s="25006"/>
      <c r="AW208" s="25007"/>
      <c r="AX208" s="25008"/>
      <c r="AY208" s="25009"/>
      <c r="AZ208" s="25010"/>
      <c r="BA208" s="25011"/>
      <c r="BB208" s="25012"/>
      <c r="BC208" s="25013"/>
      <c r="BD208" s="25014"/>
      <c r="BE208" s="25015"/>
      <c r="BF208" s="25016"/>
      <c r="BG208" s="25017"/>
      <c r="BH208" s="25018"/>
      <c r="BI208" s="25019"/>
      <c r="BJ208" s="25020"/>
      <c r="BK208" s="25021"/>
      <c r="BL208" s="25022"/>
      <c r="BM208" s="25023"/>
      <c r="BN208" s="25024"/>
      <c r="BO208" s="25025"/>
      <c r="BP208" s="25026"/>
      <c r="BQ208" s="25027"/>
      <c r="BR208" s="25028"/>
      <c r="BS208" s="25029"/>
      <c r="BT208" s="25030"/>
      <c r="BU208" s="25031"/>
      <c r="BV208" s="25032"/>
      <c r="BW208" s="25033"/>
      <c r="BX208" s="25034"/>
      <c r="BY208" s="25035"/>
      <c r="BZ208" s="25036"/>
      <c r="CA208" s="25037"/>
      <c r="CB208" s="25038"/>
      <c r="CC208" s="25039"/>
      <c r="CD208" s="25040"/>
      <c r="CE208" s="25041"/>
      <c r="CF208" s="25042"/>
      <c r="CG208" s="25043"/>
      <c r="CH208" s="25044"/>
      <c r="CI208" s="25045"/>
      <c r="CJ208" s="25046"/>
      <c r="CK208" s="25047"/>
      <c r="CL208" s="25048"/>
      <c r="CM208" s="25049"/>
      <c r="CN208" s="25050"/>
      <c r="CO208" s="25051"/>
      <c r="CP208" s="25052"/>
      <c r="CQ208" s="25053"/>
      <c r="CR208" s="25054"/>
      <c r="CS208" s="25055"/>
      <c r="CT208" s="25056"/>
      <c r="CU208" s="25057"/>
      <c r="CV208" s="21632" t="s">
        <v>623</v>
      </c>
      <c r="CW208" s="21281"/>
      <c r="CX208" s="21633"/>
      <c r="CY208" s="21633" t="str">
        <f>IF(T208="","",T208)</f>
        <v>Добавить значение признака дифференциации</v>
      </c>
      <c r="CZ208" s="21633"/>
      <c r="DA208" s="21633"/>
      <c r="DB208" s="21020">
        <v>0</v>
      </c>
    </row>
    <row s="56496" customFormat="1" customHeight="1" ht="23.25">
      <c r="A209" s="33106"/>
      <c r="B209" s="33106"/>
      <c r="C209" s="33106"/>
      <c r="D209" s="33106"/>
      <c r="E209" s="33107"/>
      <c r="F209" s="33107"/>
      <c r="G209" s="33107"/>
      <c r="H209" s="33107"/>
      <c r="I209" s="33108"/>
      <c r="J209" s="33109" t="str">
        <f>I204&amp;".2"</f>
        <v>1.9.1.1.2</v>
      </c>
      <c r="K209" s="33106"/>
      <c r="L209" s="33110" t="s">
        <v>545</v>
      </c>
      <c r="M209" s="33111"/>
      <c r="N209" s="33111"/>
      <c r="O209" s="33111"/>
      <c r="P209" s="33112"/>
      <c r="Q209" s="33113" t="s">
        <v>106</v>
      </c>
      <c r="R209" s="33114"/>
      <c r="S209" s="33115" t="str">
        <f>$J209</f>
        <v>1.9.1.1.2</v>
      </c>
      <c r="T209" s="33116" t="s">
        <v>546</v>
      </c>
      <c r="U209" s="33117"/>
      <c r="V209" s="33118"/>
      <c r="W209" s="33119"/>
      <c r="X209" s="33119"/>
      <c r="Y209" s="33119"/>
      <c r="Z209" s="33119"/>
      <c r="AA209" s="33119"/>
      <c r="AB209" s="33120"/>
      <c r="AC209" s="33118" t="s">
        <v>633</v>
      </c>
      <c r="AD209" s="33119"/>
      <c r="AE209" s="33119"/>
      <c r="AF209" s="33119"/>
      <c r="AG209" s="33119"/>
      <c r="AH209" s="33119"/>
      <c r="AI209" s="33119"/>
      <c r="AJ209" s="33118"/>
      <c r="AK209" s="33119"/>
      <c r="AL209" s="33119"/>
      <c r="AM209" s="33119"/>
      <c r="AN209" s="33119"/>
      <c r="AO209" s="33119"/>
      <c r="AP209" s="33120"/>
      <c r="AQ209" s="33118"/>
      <c r="AR209" s="33119"/>
      <c r="AS209" s="33119"/>
      <c r="AT209" s="33119"/>
      <c r="AU209" s="33119"/>
      <c r="AV209" s="33119"/>
      <c r="AW209" s="33120"/>
      <c r="AX209" s="33118"/>
      <c r="AY209" s="33119"/>
      <c r="AZ209" s="33119"/>
      <c r="BA209" s="33119"/>
      <c r="BB209" s="33119"/>
      <c r="BC209" s="33119"/>
      <c r="BD209" s="33120"/>
      <c r="BE209" s="33118"/>
      <c r="BF209" s="33119"/>
      <c r="BG209" s="33119"/>
      <c r="BH209" s="33119"/>
      <c r="BI209" s="33119"/>
      <c r="BJ209" s="33119"/>
      <c r="BK209" s="33120"/>
      <c r="BL209" s="33118"/>
      <c r="BM209" s="33119"/>
      <c r="BN209" s="33119"/>
      <c r="BO209" s="33119"/>
      <c r="BP209" s="33119"/>
      <c r="BQ209" s="33119"/>
      <c r="BR209" s="33120"/>
      <c r="BS209" s="33118"/>
      <c r="BT209" s="33119"/>
      <c r="BU209" s="33119"/>
      <c r="BV209" s="33119"/>
      <c r="BW209" s="33119"/>
      <c r="BX209" s="33119"/>
      <c r="BY209" s="33120"/>
      <c r="BZ209" s="33118"/>
      <c r="CA209" s="33119"/>
      <c r="CB209" s="33119"/>
      <c r="CC209" s="33119"/>
      <c r="CD209" s="33119"/>
      <c r="CE209" s="33119"/>
      <c r="CF209" s="33120"/>
      <c r="CG209" s="33118"/>
      <c r="CH209" s="33119"/>
      <c r="CI209" s="33119"/>
      <c r="CJ209" s="33119"/>
      <c r="CK209" s="33119"/>
      <c r="CL209" s="33119"/>
      <c r="CM209" s="33120"/>
      <c r="CN209" s="33118"/>
      <c r="CO209" s="33119"/>
      <c r="CP209" s="33119"/>
      <c r="CQ209" s="33119"/>
      <c r="CR209" s="33119"/>
      <c r="CS209" s="33119"/>
      <c r="CT209" s="33121"/>
      <c r="CU209" s="33120"/>
      <c r="CV209" s="33122" t="s">
        <v>621</v>
      </c>
      <c r="CW209" s="33123"/>
      <c r="CX209" s="33124"/>
      <c r="CY209" s="33124" t="str">
        <f>IF(T209="","",T209)</f>
        <v>Группа потребителей</v>
      </c>
      <c r="CZ209" s="33124"/>
      <c r="DA209" s="33124"/>
      <c r="DB209" s="33125">
        <v>0</v>
      </c>
    </row>
    <row s="56497" customFormat="1" customHeight="1" ht="23.25">
      <c r="A210" s="33106"/>
      <c r="B210" s="33106"/>
      <c r="C210" s="33106"/>
      <c r="D210" s="33106"/>
      <c r="E210" s="33107"/>
      <c r="F210" s="33107"/>
      <c r="G210" s="33107"/>
      <c r="H210" s="33107"/>
      <c r="I210" s="33108"/>
      <c r="J210" s="33108" t="str">
        <f>I204&amp;".1"</f>
        <v>1.9.1.1.1</v>
      </c>
      <c r="K210" s="33109" t="str">
        <f>J209&amp;".1"</f>
        <v>1.9.1.1.2.1</v>
      </c>
      <c r="L210" s="33110"/>
      <c r="M210" s="33111"/>
      <c r="N210" s="33111"/>
      <c r="O210" s="33111"/>
      <c r="P210" s="33112"/>
      <c r="Q210" s="33112"/>
      <c r="R210" s="33114">
        <v>1</v>
      </c>
      <c r="S210" s="33115" t="str">
        <f>$K210</f>
        <v>1.9.1.1.2.1</v>
      </c>
      <c r="T210" s="33127"/>
      <c r="U210" s="33117"/>
      <c r="V210" s="33128"/>
      <c r="W210" s="33128"/>
      <c r="X210" s="33129"/>
      <c r="Y210" s="33020"/>
      <c r="Z210" s="33130" t="s">
        <v>63</v>
      </c>
      <c r="AA210" s="33020"/>
      <c r="AB210" s="33130" t="s">
        <v>63</v>
      </c>
      <c r="AC210" s="33128">
        <v>35.05</v>
      </c>
      <c r="AD210" s="33128"/>
      <c r="AE210" s="33129"/>
      <c r="AF210" s="44875">
        <v>45292.463854166665</v>
      </c>
      <c r="AG210" s="33130" t="s">
        <v>63</v>
      </c>
      <c r="AH210" s="44876">
        <v>45473.464050925926</v>
      </c>
      <c r="AI210" s="33130" t="s">
        <v>63</v>
      </c>
      <c r="AJ210" s="33128">
        <v>45.56</v>
      </c>
      <c r="AK210" s="33128"/>
      <c r="AL210" s="33129"/>
      <c r="AM210" s="44875">
        <v>45474.464537037034</v>
      </c>
      <c r="AN210" s="33130" t="s">
        <v>63</v>
      </c>
      <c r="AO210" s="44875">
        <v>45657.46466435185</v>
      </c>
      <c r="AP210" s="33130" t="s">
        <v>63</v>
      </c>
      <c r="AQ210" s="33128">
        <v>45.56</v>
      </c>
      <c r="AR210" s="33128"/>
      <c r="AS210" s="33129"/>
      <c r="AT210" s="44875">
        <v>45658.465104166666</v>
      </c>
      <c r="AU210" s="33130" t="s">
        <v>63</v>
      </c>
      <c r="AV210" s="44875">
        <v>45838.46534722222</v>
      </c>
      <c r="AW210" s="33130" t="s">
        <v>63</v>
      </c>
      <c r="AX210" s="33128">
        <v>54.67</v>
      </c>
      <c r="AY210" s="33128"/>
      <c r="AZ210" s="33129"/>
      <c r="BA210" s="44875">
        <v>45839.465902777774</v>
      </c>
      <c r="BB210" s="33130" t="s">
        <v>63</v>
      </c>
      <c r="BC210" s="44875">
        <v>46022.46611111111</v>
      </c>
      <c r="BD210" s="33130" t="s">
        <v>63</v>
      </c>
      <c r="BE210" s="33128">
        <v>54.67</v>
      </c>
      <c r="BF210" s="33128"/>
      <c r="BG210" s="33129"/>
      <c r="BH210" s="44875">
        <v>46023.466574074075</v>
      </c>
      <c r="BI210" s="33130" t="s">
        <v>63</v>
      </c>
      <c r="BJ210" s="44875">
        <v>45473.466898148145</v>
      </c>
      <c r="BK210" s="33130" t="s">
        <v>63</v>
      </c>
      <c r="BL210" s="33128">
        <v>57.4</v>
      </c>
      <c r="BM210" s="33128"/>
      <c r="BN210" s="33129"/>
      <c r="BO210" s="44875">
        <v>46204.46761574074</v>
      </c>
      <c r="BP210" s="33130" t="s">
        <v>63</v>
      </c>
      <c r="BQ210" s="44875">
        <v>46387.467824074076</v>
      </c>
      <c r="BR210" s="33130" t="s">
        <v>63</v>
      </c>
      <c r="BS210" s="33128">
        <v>57.4</v>
      </c>
      <c r="BT210" s="33128"/>
      <c r="BU210" s="33129"/>
      <c r="BV210" s="44875">
        <v>46388.468252314815</v>
      </c>
      <c r="BW210" s="33130" t="s">
        <v>63</v>
      </c>
      <c r="BX210" s="44875">
        <v>46568.46849537037</v>
      </c>
      <c r="BY210" s="33130" t="s">
        <v>63</v>
      </c>
      <c r="BZ210" s="33128">
        <v>59.7</v>
      </c>
      <c r="CA210" s="33128"/>
      <c r="CB210" s="33129"/>
      <c r="CC210" s="44875">
        <v>46569.46939814815</v>
      </c>
      <c r="CD210" s="33130" t="s">
        <v>63</v>
      </c>
      <c r="CE210" s="44875">
        <v>46752.46959490741</v>
      </c>
      <c r="CF210" s="33130" t="s">
        <v>63</v>
      </c>
      <c r="CG210" s="33128">
        <v>59.7</v>
      </c>
      <c r="CH210" s="33128"/>
      <c r="CI210" s="33129"/>
      <c r="CJ210" s="44875">
        <v>46753.46984953704</v>
      </c>
      <c r="CK210" s="33130" t="s">
        <v>63</v>
      </c>
      <c r="CL210" s="44875">
        <v>46934.47025462963</v>
      </c>
      <c r="CM210" s="33130" t="s">
        <v>63</v>
      </c>
      <c r="CN210" s="33128">
        <v>60.34</v>
      </c>
      <c r="CO210" s="33128"/>
      <c r="CP210" s="33129"/>
      <c r="CQ210" s="44875">
        <v>46935.4708912037</v>
      </c>
      <c r="CR210" s="33130" t="s">
        <v>63</v>
      </c>
      <c r="CS210" s="44875">
        <v>47118.47107638889</v>
      </c>
      <c r="CT210" s="33131" t="s">
        <v>63</v>
      </c>
      <c r="CU210" s="33132"/>
      <c r="CV210"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0" s="33123">
        <f>STRCHECKDATE(V211:CU211)</f>
      </c>
      <c r="CX210" s="33124"/>
      <c r="CY210" s="33124" t="str">
        <f>IF(T210="","",T210)</f>
        <v/>
      </c>
      <c r="CZ210" s="33124"/>
      <c r="DA210" s="33124"/>
      <c r="DB210" s="33125">
        <v>0</v>
      </c>
    </row>
    <row s="56498" customFormat="1" customHeight="1" ht="14.25">
      <c r="A211" s="33106"/>
      <c r="B211" s="33106"/>
      <c r="C211" s="33106"/>
      <c r="D211" s="33106"/>
      <c r="E211" s="33107"/>
      <c r="F211" s="33107"/>
      <c r="G211" s="33107"/>
      <c r="H211" s="33107"/>
      <c r="I211" s="33108"/>
      <c r="J211" s="33108" t="str">
        <f>I204&amp;".1"</f>
        <v>1.9.1.1.1</v>
      </c>
      <c r="K211" s="33109"/>
      <c r="L211" s="33110"/>
      <c r="M211" s="33111"/>
      <c r="N211" s="33111"/>
      <c r="O211" s="33111"/>
      <c r="P211" s="33112"/>
      <c r="Q211" s="33112"/>
      <c r="R211" s="33114"/>
      <c r="S211" s="33135"/>
      <c r="T211" s="33117"/>
      <c r="U211" s="33117"/>
      <c r="V211" s="33136"/>
      <c r="W211" s="33136"/>
      <c r="X211" s="33137" t="str">
        <f>Y210&amp;"-"&amp;AA210</f>
        <v>-</v>
      </c>
      <c r="Y211" s="33138"/>
      <c r="Z211" s="33130"/>
      <c r="AA211" s="33138"/>
      <c r="AB211" s="33130"/>
      <c r="AC211" s="33136"/>
      <c r="AD211" s="33136"/>
      <c r="AE211" s="33137" t="str">
        <f>AF210&amp;"-"&amp;AH210</f>
        <v>45292.463854166665-45473.464050925926</v>
      </c>
      <c r="AF211" s="33138"/>
      <c r="AG211" s="33130"/>
      <c r="AH211" s="33139"/>
      <c r="AI211" s="33130"/>
      <c r="AJ211" s="33136"/>
      <c r="AK211" s="33136"/>
      <c r="AL211" s="33137" t="str">
        <f>AM210&amp;"-"&amp;AO210</f>
        <v>45474.464537037034-45657.46466435185</v>
      </c>
      <c r="AM211" s="33138"/>
      <c r="AN211" s="33130"/>
      <c r="AO211" s="33138"/>
      <c r="AP211" s="33130"/>
      <c r="AQ211" s="33136"/>
      <c r="AR211" s="33136"/>
      <c r="AS211" s="33137" t="str">
        <f>AT210&amp;"-"&amp;AV210</f>
        <v>45658.465104166666-45838.46534722222</v>
      </c>
      <c r="AT211" s="33138"/>
      <c r="AU211" s="33130"/>
      <c r="AV211" s="33138"/>
      <c r="AW211" s="33130"/>
      <c r="AX211" s="33136"/>
      <c r="AY211" s="33136"/>
      <c r="AZ211" s="33137" t="str">
        <f>BA210&amp;"-"&amp;BC210</f>
        <v>45839.465902777774-46022.46611111111</v>
      </c>
      <c r="BA211" s="33138"/>
      <c r="BB211" s="33130"/>
      <c r="BC211" s="33138"/>
      <c r="BD211" s="33130"/>
      <c r="BE211" s="33136"/>
      <c r="BF211" s="33136"/>
      <c r="BG211" s="33137" t="str">
        <f>BH210&amp;"-"&amp;BJ210</f>
        <v>46023.466574074075-45473.466898148145</v>
      </c>
      <c r="BH211" s="33138"/>
      <c r="BI211" s="33130"/>
      <c r="BJ211" s="33138"/>
      <c r="BK211" s="33130"/>
      <c r="BL211" s="33136"/>
      <c r="BM211" s="33136"/>
      <c r="BN211" s="33137" t="str">
        <f>BO210&amp;"-"&amp;BQ210</f>
        <v>46204.46761574074-46387.467824074076</v>
      </c>
      <c r="BO211" s="33138"/>
      <c r="BP211" s="33130"/>
      <c r="BQ211" s="33138"/>
      <c r="BR211" s="33130"/>
      <c r="BS211" s="33136"/>
      <c r="BT211" s="33136"/>
      <c r="BU211" s="33137" t="str">
        <f>BV210&amp;"-"&amp;BX210</f>
        <v>46388.468252314815-46568.46849537037</v>
      </c>
      <c r="BV211" s="33138"/>
      <c r="BW211" s="33130"/>
      <c r="BX211" s="33138"/>
      <c r="BY211" s="33130"/>
      <c r="BZ211" s="33136"/>
      <c r="CA211" s="33136"/>
      <c r="CB211" s="33137" t="str">
        <f>CC210&amp;"-"&amp;CE210</f>
        <v>46569.46939814815-46752.46959490741</v>
      </c>
      <c r="CC211" s="33138"/>
      <c r="CD211" s="33130"/>
      <c r="CE211" s="33138"/>
      <c r="CF211" s="33130"/>
      <c r="CG211" s="33136"/>
      <c r="CH211" s="33136"/>
      <c r="CI211" s="33137" t="str">
        <f>CJ210&amp;"-"&amp;CL210</f>
        <v>46753.46984953704-46934.47025462963</v>
      </c>
      <c r="CJ211" s="33138"/>
      <c r="CK211" s="33130"/>
      <c r="CL211" s="33138"/>
      <c r="CM211" s="33130"/>
      <c r="CN211" s="33136"/>
      <c r="CO211" s="33136"/>
      <c r="CP211" s="33137" t="str">
        <f>CQ210&amp;"-"&amp;CS210</f>
        <v>46935.4708912037-47118.47107638889</v>
      </c>
      <c r="CQ211" s="33138"/>
      <c r="CR211" s="33130"/>
      <c r="CS211" s="33138"/>
      <c r="CT211" s="33131"/>
      <c r="CU211" s="33140"/>
      <c r="CV211" s="33133"/>
      <c r="CW211" s="33123"/>
      <c r="CX211" s="33124"/>
      <c r="CY211" s="33124" t="str">
        <f>IF(T211="","",T211)</f>
        <v/>
      </c>
      <c r="CZ211" s="33124"/>
      <c r="DA211" s="33124"/>
      <c r="DB211" s="33125">
        <v>0</v>
      </c>
    </row>
    <row s="56499" customFormat="1" customHeight="1" ht="21">
      <c r="A212" s="33106"/>
      <c r="B212" s="33106"/>
      <c r="C212" s="33106"/>
      <c r="D212" s="33106"/>
      <c r="E212" s="33107"/>
      <c r="F212" s="33107"/>
      <c r="G212" s="33107"/>
      <c r="H212" s="33107"/>
      <c r="I212" s="33108"/>
      <c r="J212" s="33109" t="str">
        <f>I204&amp;".1"</f>
        <v>1.9.1.1.1</v>
      </c>
      <c r="K212" s="33106"/>
      <c r="L212" s="33110"/>
      <c r="M212" s="33111"/>
      <c r="N212" s="33111"/>
      <c r="O212" s="33111"/>
      <c r="P212" s="33112"/>
      <c r="Q212" s="33112"/>
      <c r="R212" s="33142"/>
      <c r="S212" s="34842"/>
      <c r="T212" s="34843" t="s">
        <v>622</v>
      </c>
      <c r="U212" s="34844"/>
      <c r="V212" s="34845"/>
      <c r="W212" s="34846"/>
      <c r="X212" s="34847"/>
      <c r="Y212" s="34848"/>
      <c r="Z212" s="34849"/>
      <c r="AA212" s="34850"/>
      <c r="AB212" s="34851"/>
      <c r="AC212" s="34852"/>
      <c r="AD212" s="34853"/>
      <c r="AE212" s="34854"/>
      <c r="AF212" s="34855"/>
      <c r="AG212" s="34856"/>
      <c r="AH212" s="34857"/>
      <c r="AI212" s="34858"/>
      <c r="AJ212" s="34859"/>
      <c r="AK212" s="34860"/>
      <c r="AL212" s="34861"/>
      <c r="AM212" s="34862"/>
      <c r="AN212" s="34863"/>
      <c r="AO212" s="34864"/>
      <c r="AP212" s="34865"/>
      <c r="AQ212" s="34866"/>
      <c r="AR212" s="34867"/>
      <c r="AS212" s="34868"/>
      <c r="AT212" s="34869"/>
      <c r="AU212" s="34870"/>
      <c r="AV212" s="34871"/>
      <c r="AW212" s="34872"/>
      <c r="AX212" s="34873"/>
      <c r="AY212" s="34874"/>
      <c r="AZ212" s="34875"/>
      <c r="BA212" s="34876"/>
      <c r="BB212" s="34877"/>
      <c r="BC212" s="34878"/>
      <c r="BD212" s="34879"/>
      <c r="BE212" s="34880"/>
      <c r="BF212" s="34881"/>
      <c r="BG212" s="34882"/>
      <c r="BH212" s="34883"/>
      <c r="BI212" s="34884"/>
      <c r="BJ212" s="34885"/>
      <c r="BK212" s="34886"/>
      <c r="BL212" s="34887"/>
      <c r="BM212" s="34888"/>
      <c r="BN212" s="34889"/>
      <c r="BO212" s="34890"/>
      <c r="BP212" s="34891"/>
      <c r="BQ212" s="34892"/>
      <c r="BR212" s="34893"/>
      <c r="BS212" s="34894"/>
      <c r="BT212" s="34895"/>
      <c r="BU212" s="34896"/>
      <c r="BV212" s="34897"/>
      <c r="BW212" s="34898"/>
      <c r="BX212" s="34899"/>
      <c r="BY212" s="34900"/>
      <c r="BZ212" s="34901"/>
      <c r="CA212" s="34902"/>
      <c r="CB212" s="34903"/>
      <c r="CC212" s="34904"/>
      <c r="CD212" s="34905"/>
      <c r="CE212" s="34906"/>
      <c r="CF212" s="34907"/>
      <c r="CG212" s="34908"/>
      <c r="CH212" s="34909"/>
      <c r="CI212" s="34910"/>
      <c r="CJ212" s="34911"/>
      <c r="CK212" s="34912"/>
      <c r="CL212" s="34913"/>
      <c r="CM212" s="34914"/>
      <c r="CN212" s="34915"/>
      <c r="CO212" s="34916"/>
      <c r="CP212" s="34917"/>
      <c r="CQ212" s="34918"/>
      <c r="CR212" s="34919"/>
      <c r="CS212" s="34920"/>
      <c r="CT212" s="34921"/>
      <c r="CU212" s="34922"/>
      <c r="CV212" s="33224" t="s">
        <v>623</v>
      </c>
      <c r="CW212" s="33123"/>
      <c r="CX212" s="33124"/>
      <c r="CY212" s="33124" t="str">
        <f>IF(T212="","",T212)</f>
        <v>Добавить значение признака дифференциации</v>
      </c>
      <c r="CZ212" s="33124"/>
      <c r="DA212" s="33124"/>
      <c r="DB212" s="33125">
        <v>0</v>
      </c>
    </row>
    <row s="56581" customFormat="1" customHeight="1" ht="21">
      <c r="A213" s="21621"/>
      <c r="B213" s="21621"/>
      <c r="C213" s="21621"/>
      <c r="D213" s="21621"/>
      <c r="E213" s="21622"/>
      <c r="F213" s="21622" t="s">
        <v>135</v>
      </c>
      <c r="G213" s="21622"/>
      <c r="H213" s="21622"/>
      <c r="I213" s="21638"/>
      <c r="J213" s="21621"/>
      <c r="K213" s="21621"/>
      <c r="L213" s="21624"/>
      <c r="M213" s="21639"/>
      <c r="N213" s="21639"/>
      <c r="O213" s="21639"/>
      <c r="P213" s="21640"/>
      <c r="Q213" s="21640"/>
      <c r="R213" s="21641"/>
      <c r="S213" s="25059"/>
      <c r="T213" s="25060" t="s">
        <v>551</v>
      </c>
      <c r="U213" s="25061"/>
      <c r="V213" s="25062"/>
      <c r="W213" s="25063"/>
      <c r="X213" s="25064"/>
      <c r="Y213" s="25065"/>
      <c r="Z213" s="25066"/>
      <c r="AA213" s="25067"/>
      <c r="AB213" s="25068"/>
      <c r="AC213" s="25069"/>
      <c r="AD213" s="25070"/>
      <c r="AE213" s="25071"/>
      <c r="AF213" s="25072"/>
      <c r="AG213" s="25073"/>
      <c r="AH213" s="25074"/>
      <c r="AI213" s="25075"/>
      <c r="AJ213" s="25076"/>
      <c r="AK213" s="25077"/>
      <c r="AL213" s="25078"/>
      <c r="AM213" s="25079"/>
      <c r="AN213" s="25080"/>
      <c r="AO213" s="25081"/>
      <c r="AP213" s="25082"/>
      <c r="AQ213" s="25083"/>
      <c r="AR213" s="25084"/>
      <c r="AS213" s="25085"/>
      <c r="AT213" s="25086"/>
      <c r="AU213" s="25087"/>
      <c r="AV213" s="25088"/>
      <c r="AW213" s="25089"/>
      <c r="AX213" s="25090"/>
      <c r="AY213" s="25091"/>
      <c r="AZ213" s="25092"/>
      <c r="BA213" s="25093"/>
      <c r="BB213" s="25094"/>
      <c r="BC213" s="25095"/>
      <c r="BD213" s="25096"/>
      <c r="BE213" s="25097"/>
      <c r="BF213" s="25098"/>
      <c r="BG213" s="25099"/>
      <c r="BH213" s="25100"/>
      <c r="BI213" s="25101"/>
      <c r="BJ213" s="25102"/>
      <c r="BK213" s="25103"/>
      <c r="BL213" s="25104"/>
      <c r="BM213" s="25105"/>
      <c r="BN213" s="25106"/>
      <c r="BO213" s="25107"/>
      <c r="BP213" s="25108"/>
      <c r="BQ213" s="25109"/>
      <c r="BR213" s="25110"/>
      <c r="BS213" s="25111"/>
      <c r="BT213" s="25112"/>
      <c r="BU213" s="25113"/>
      <c r="BV213" s="25114"/>
      <c r="BW213" s="25115"/>
      <c r="BX213" s="25116"/>
      <c r="BY213" s="25117"/>
      <c r="BZ213" s="25118"/>
      <c r="CA213" s="25119"/>
      <c r="CB213" s="25120"/>
      <c r="CC213" s="25121"/>
      <c r="CD213" s="25122"/>
      <c r="CE213" s="25123"/>
      <c r="CF213" s="25124"/>
      <c r="CG213" s="25125"/>
      <c r="CH213" s="25126"/>
      <c r="CI213" s="25127"/>
      <c r="CJ213" s="25128"/>
      <c r="CK213" s="25129"/>
      <c r="CL213" s="25130"/>
      <c r="CM213" s="25131"/>
      <c r="CN213" s="25132"/>
      <c r="CO213" s="25133"/>
      <c r="CP213" s="25134"/>
      <c r="CQ213" s="25135"/>
      <c r="CR213" s="25136"/>
      <c r="CS213" s="25137"/>
      <c r="CT213" s="25138"/>
      <c r="CU213" s="25139"/>
      <c r="CV213" s="25140"/>
      <c r="CW213" s="21281"/>
      <c r="CX213" s="21633"/>
      <c r="CY213" s="21633" t="str">
        <f>IF(T213="","",T213)</f>
        <v>Добавить группу потребителей</v>
      </c>
      <c r="CZ213" s="21633"/>
      <c r="DA213" s="21633"/>
      <c r="DB213" s="21020">
        <v>0</v>
      </c>
    </row>
    <row s="56664" customFormat="1" customHeight="1" ht="14.25">
      <c r="A214" s="21621"/>
      <c r="B214" s="21621"/>
      <c r="C214" s="21621"/>
      <c r="D214" s="21621"/>
      <c r="E214" s="21622"/>
      <c r="F214" s="21622" t="s">
        <v>135</v>
      </c>
      <c r="G214" s="21622"/>
      <c r="H214" s="21623"/>
      <c r="I214" s="21621"/>
      <c r="J214" s="21621"/>
      <c r="K214" s="21621"/>
      <c r="L214" s="21624"/>
      <c r="M214" s="21625"/>
      <c r="N214" s="21625"/>
      <c r="O214" s="21264"/>
      <c r="P214" s="21910"/>
      <c r="Q214" s="21911"/>
      <c r="R214" s="21912"/>
      <c r="S214" s="25142"/>
      <c r="T214" s="25143" t="s">
        <v>624</v>
      </c>
      <c r="U214" s="25144"/>
      <c r="V214" s="25145"/>
      <c r="W214" s="25146"/>
      <c r="X214" s="25147"/>
      <c r="Y214" s="25148"/>
      <c r="Z214" s="25149"/>
      <c r="AA214" s="25150"/>
      <c r="AB214" s="25151"/>
      <c r="AC214" s="25152"/>
      <c r="AD214" s="25153"/>
      <c r="AE214" s="25154"/>
      <c r="AF214" s="25155"/>
      <c r="AG214" s="25156"/>
      <c r="AH214" s="25157"/>
      <c r="AI214" s="25158"/>
      <c r="AJ214" s="25159"/>
      <c r="AK214" s="25160"/>
      <c r="AL214" s="25161"/>
      <c r="AM214" s="25162"/>
      <c r="AN214" s="25163"/>
      <c r="AO214" s="25164"/>
      <c r="AP214" s="25165"/>
      <c r="AQ214" s="25166"/>
      <c r="AR214" s="25167"/>
      <c r="AS214" s="25168"/>
      <c r="AT214" s="25169"/>
      <c r="AU214" s="25170"/>
      <c r="AV214" s="25171"/>
      <c r="AW214" s="25172"/>
      <c r="AX214" s="25173"/>
      <c r="AY214" s="25174"/>
      <c r="AZ214" s="25175"/>
      <c r="BA214" s="25176"/>
      <c r="BB214" s="25177"/>
      <c r="BC214" s="25178"/>
      <c r="BD214" s="25179"/>
      <c r="BE214" s="25180"/>
      <c r="BF214" s="25181"/>
      <c r="BG214" s="25182"/>
      <c r="BH214" s="25183"/>
      <c r="BI214" s="25184"/>
      <c r="BJ214" s="25185"/>
      <c r="BK214" s="25186"/>
      <c r="BL214" s="25187"/>
      <c r="BM214" s="25188"/>
      <c r="BN214" s="25189"/>
      <c r="BO214" s="25190"/>
      <c r="BP214" s="25191"/>
      <c r="BQ214" s="25192"/>
      <c r="BR214" s="25193"/>
      <c r="BS214" s="25194"/>
      <c r="BT214" s="25195"/>
      <c r="BU214" s="25196"/>
      <c r="BV214" s="25197"/>
      <c r="BW214" s="25198"/>
      <c r="BX214" s="25199"/>
      <c r="BY214" s="25200"/>
      <c r="BZ214" s="25201"/>
      <c r="CA214" s="25202"/>
      <c r="CB214" s="25203"/>
      <c r="CC214" s="25204"/>
      <c r="CD214" s="25205"/>
      <c r="CE214" s="25206"/>
      <c r="CF214" s="25207"/>
      <c r="CG214" s="25208"/>
      <c r="CH214" s="25209"/>
      <c r="CI214" s="25210"/>
      <c r="CJ214" s="25211"/>
      <c r="CK214" s="25212"/>
      <c r="CL214" s="25213"/>
      <c r="CM214" s="25214"/>
      <c r="CN214" s="25215"/>
      <c r="CO214" s="25216"/>
      <c r="CP214" s="25217"/>
      <c r="CQ214" s="25218"/>
      <c r="CR214" s="25219"/>
      <c r="CS214" s="25220"/>
      <c r="CT214" s="25221"/>
      <c r="CU214" s="25222"/>
      <c r="CV214" s="25223"/>
      <c r="CW214" s="21281"/>
      <c r="CX214" s="21633"/>
      <c r="CY214" s="21633" t="str">
        <f>IF(T214="","",T214)</f>
        <v>Добавить наименование признака дифференциации</v>
      </c>
      <c r="CZ214" s="21633"/>
      <c r="DA214" s="21633"/>
      <c r="DB214" s="21020">
        <v>0</v>
      </c>
    </row>
    <row s="56747" customFormat="1" customHeight="1" ht="14.25">
      <c r="A215" s="21996"/>
      <c r="B215" s="21996"/>
      <c r="C215" s="21996"/>
      <c r="D215" s="21996"/>
      <c r="E215" s="21622"/>
      <c r="F215" s="21623" t="s">
        <v>135</v>
      </c>
      <c r="G215" s="21996"/>
      <c r="H215" s="21996"/>
      <c r="I215" s="21996"/>
      <c r="J215" s="21996"/>
      <c r="K215" s="21996"/>
      <c r="L215" s="21997"/>
      <c r="M215" s="21998"/>
      <c r="N215" s="21998"/>
      <c r="O215" s="21281"/>
      <c r="P215" s="21999"/>
      <c r="Q215" s="22000"/>
      <c r="R215" s="21999"/>
      <c r="S215" s="22001"/>
      <c r="T215" s="22002" t="s">
        <v>290</v>
      </c>
      <c r="U215" s="21260"/>
      <c r="V215" s="21260"/>
      <c r="W215" s="21260"/>
      <c r="X215" s="21260"/>
      <c r="Y215" s="21260"/>
      <c r="Z215" s="21260"/>
      <c r="AA215" s="21260"/>
      <c r="AB215" s="21260"/>
      <c r="AC215" s="21260"/>
      <c r="AD215" s="21260"/>
      <c r="AE215" s="21260"/>
      <c r="AF215" s="21260"/>
      <c r="AG215" s="21260"/>
      <c r="AH215" s="21260"/>
      <c r="AI215" s="21260"/>
      <c r="AJ215" s="21260"/>
      <c r="AK215" s="21260"/>
      <c r="AL215" s="21260"/>
      <c r="AM215" s="21260"/>
      <c r="AN215" s="21260"/>
      <c r="AO215" s="21260"/>
      <c r="AP215" s="21260"/>
      <c r="AQ215" s="21260"/>
      <c r="AR215" s="21260"/>
      <c r="AS215" s="21260"/>
      <c r="AT215" s="21260"/>
      <c r="AU215" s="21260"/>
      <c r="AV215" s="21260"/>
      <c r="AW215" s="21260"/>
      <c r="AX215" s="21260"/>
      <c r="AY215" s="21260"/>
      <c r="AZ215" s="21260"/>
      <c r="BA215" s="21260"/>
      <c r="BB215" s="21260"/>
      <c r="BC215" s="21260"/>
      <c r="BD215" s="21260"/>
      <c r="BE215" s="21260"/>
      <c r="BF215" s="21260"/>
      <c r="BG215" s="21260"/>
      <c r="BH215" s="21260"/>
      <c r="BI215" s="21260"/>
      <c r="BJ215" s="21260"/>
      <c r="BK215" s="21260"/>
      <c r="BL215" s="21260"/>
      <c r="BM215" s="21260"/>
      <c r="BN215" s="21260"/>
      <c r="BO215" s="21260"/>
      <c r="BP215" s="21260"/>
      <c r="BQ215" s="21260"/>
      <c r="BR215" s="21260"/>
      <c r="BS215" s="21260"/>
      <c r="BT215" s="21260"/>
      <c r="BU215" s="21260"/>
      <c r="BV215" s="21260"/>
      <c r="BW215" s="21260"/>
      <c r="BX215" s="21260"/>
      <c r="BY215" s="21260"/>
      <c r="BZ215" s="21260"/>
      <c r="CA215" s="21260"/>
      <c r="CB215" s="21260"/>
      <c r="CC215" s="21260"/>
      <c r="CD215" s="21260"/>
      <c r="CE215" s="21260"/>
      <c r="CF215" s="21260"/>
      <c r="CG215" s="21260"/>
      <c r="CH215" s="21260"/>
      <c r="CI215" s="21260"/>
      <c r="CJ215" s="21260"/>
      <c r="CK215" s="21260"/>
      <c r="CL215" s="21260"/>
      <c r="CM215" s="21260"/>
      <c r="CN215" s="21260"/>
      <c r="CO215" s="21260"/>
      <c r="CP215" s="21260"/>
      <c r="CQ215" s="21260"/>
      <c r="CR215" s="21260"/>
      <c r="CS215" s="21260"/>
      <c r="CT215" s="21260"/>
      <c r="CU215" s="21260"/>
      <c r="CV215" s="21260"/>
      <c r="CW215" s="21281"/>
      <c r="CX215" s="21633"/>
      <c r="CY215" s="21633" t="str">
        <f>IF(T215="","",T215)</f>
        <v>Добавить централизованную систему для дифференциации</v>
      </c>
      <c r="CZ215" s="21633"/>
      <c r="DA215" s="21633"/>
      <c r="DB215" s="21281">
        <v>0</v>
      </c>
    </row>
    <row s="56748" customFormat="1" customHeight="1" ht="23.25">
      <c r="A216" s="21621"/>
      <c r="B216" s="21621" t="s">
        <v>336</v>
      </c>
      <c r="C216" s="21621"/>
      <c r="D216" s="21621"/>
      <c r="E216" s="21622"/>
      <c r="F216" s="21623" t="s">
        <v>145</v>
      </c>
      <c r="G216" s="21621"/>
      <c r="H216" s="21621"/>
      <c r="I216" s="21621"/>
      <c r="J216" s="21621"/>
      <c r="K216" s="21621"/>
      <c r="L216" s="21624"/>
      <c r="M216" s="21625"/>
      <c r="N216" s="21625"/>
      <c r="O216" s="21625"/>
      <c r="P216" s="21626"/>
      <c r="Q216" s="21627"/>
      <c r="R216" s="21628"/>
      <c r="S216" s="21629" t="str">
        <f>INDEX(PT_DIFFERENTIATION_NUM_TER,MATCH(B216,PT_DIFFERENTIATION_TER_ID,0))</f>
        <v>1.10</v>
      </c>
      <c r="T216" s="21630" t="s">
        <v>536</v>
      </c>
      <c r="U216" s="21631"/>
      <c r="V216" s="21025"/>
      <c r="W216" s="21026"/>
      <c r="X216" s="21026"/>
      <c r="Y216" s="21026"/>
      <c r="Z216" s="21026"/>
      <c r="AA216" s="21026"/>
      <c r="AB216" s="21027"/>
      <c r="AC216" s="21025" t="str">
        <f>INDEX(PT_DIFFERENTIATION_TER,MATCH(B216,PT_DIFFERENTIATION_TER_ID,0))</f>
        <v>Территория 10</v>
      </c>
      <c r="AD216" s="21026"/>
      <c r="AE216" s="21026"/>
      <c r="AF216" s="21026"/>
      <c r="AG216" s="21026"/>
      <c r="AH216" s="21026"/>
      <c r="AI216" s="21026"/>
      <c r="AJ216" s="21025"/>
      <c r="AK216" s="21026"/>
      <c r="AL216" s="21026"/>
      <c r="AM216" s="21026"/>
      <c r="AN216" s="21026"/>
      <c r="AO216" s="21026"/>
      <c r="AP216" s="21027"/>
      <c r="AQ216" s="21025"/>
      <c r="AR216" s="21026"/>
      <c r="AS216" s="21026"/>
      <c r="AT216" s="21026"/>
      <c r="AU216" s="21026"/>
      <c r="AV216" s="21026"/>
      <c r="AW216" s="21027"/>
      <c r="AX216" s="21025"/>
      <c r="AY216" s="21026"/>
      <c r="AZ216" s="21026"/>
      <c r="BA216" s="21026"/>
      <c r="BB216" s="21026"/>
      <c r="BC216" s="21026"/>
      <c r="BD216" s="21027"/>
      <c r="BE216" s="21025"/>
      <c r="BF216" s="21026"/>
      <c r="BG216" s="21026"/>
      <c r="BH216" s="21026"/>
      <c r="BI216" s="21026"/>
      <c r="BJ216" s="21026"/>
      <c r="BK216" s="21027"/>
      <c r="BL216" s="21025"/>
      <c r="BM216" s="21026"/>
      <c r="BN216" s="21026"/>
      <c r="BO216" s="21026"/>
      <c r="BP216" s="21026"/>
      <c r="BQ216" s="21026"/>
      <c r="BR216" s="21027"/>
      <c r="BS216" s="21025"/>
      <c r="BT216" s="21026"/>
      <c r="BU216" s="21026"/>
      <c r="BV216" s="21026"/>
      <c r="BW216" s="21026"/>
      <c r="BX216" s="21026"/>
      <c r="BY216" s="21027"/>
      <c r="BZ216" s="21025"/>
      <c r="CA216" s="21026"/>
      <c r="CB216" s="21026"/>
      <c r="CC216" s="21026"/>
      <c r="CD216" s="21026"/>
      <c r="CE216" s="21026"/>
      <c r="CF216" s="21027"/>
      <c r="CG216" s="21025"/>
      <c r="CH216" s="21026"/>
      <c r="CI216" s="21026"/>
      <c r="CJ216" s="21026"/>
      <c r="CK216" s="21026"/>
      <c r="CL216" s="21026"/>
      <c r="CM216" s="21027"/>
      <c r="CN216" s="21025"/>
      <c r="CO216" s="21026"/>
      <c r="CP216" s="21026"/>
      <c r="CQ216" s="21026"/>
      <c r="CR216" s="21026"/>
      <c r="CS216" s="21026"/>
      <c r="CT216" s="21027"/>
      <c r="CU216" s="21027"/>
      <c r="CV216" s="21632" t="s">
        <v>537</v>
      </c>
      <c r="CW216" s="21281"/>
      <c r="CX216" s="21633"/>
      <c r="CY216" s="21633" t="str">
        <f>IF(T216="","",T216)</f>
        <v>Территория действия тарифа</v>
      </c>
      <c r="CZ216" s="21633"/>
      <c r="DA216" s="21633"/>
      <c r="DB216" s="21020">
        <v>0</v>
      </c>
    </row>
    <row s="56749" customFormat="1" customHeight="1" ht="23.25">
      <c r="A217" s="21621"/>
      <c r="B217" s="21621"/>
      <c r="C217" s="21621" t="s">
        <v>337</v>
      </c>
      <c r="D217" s="21621"/>
      <c r="E217" s="21622"/>
      <c r="F217" s="21622" t="s">
        <v>140</v>
      </c>
      <c r="G217" s="21623">
        <v>1</v>
      </c>
      <c r="H217" s="21621"/>
      <c r="I217" s="21621"/>
      <c r="J217" s="21621"/>
      <c r="K217" s="21621"/>
      <c r="L217" s="21624"/>
      <c r="M217" s="21625"/>
      <c r="N217" s="21625"/>
      <c r="O217" s="21625"/>
      <c r="P217" s="21635"/>
      <c r="Q217" s="21627"/>
      <c r="R217" s="21628"/>
      <c r="S217" s="21629" t="str">
        <f>INDEX(PT_DIFFERENTIATION_NUM_CS,MATCH(C217,PT_DIFFERENTIATION_CS_ID,0))</f>
        <v>1.10.1</v>
      </c>
      <c r="T217" s="21636" t="s">
        <v>617</v>
      </c>
      <c r="U217" s="21631"/>
      <c r="V217" s="21025"/>
      <c r="W217" s="21026"/>
      <c r="X217" s="21026"/>
      <c r="Y217" s="21026"/>
      <c r="Z217" s="21026"/>
      <c r="AA217" s="21026"/>
      <c r="AB217" s="21027"/>
      <c r="AC217" s="21025" t="str">
        <f>INDEX(PT_DIFFERENTIATION_CS,MATCH(C217,PT_DIFFERENTIATION_CS_ID,0))</f>
        <v>с. Романовка</v>
      </c>
      <c r="AD217" s="21026"/>
      <c r="AE217" s="21026"/>
      <c r="AF217" s="21026"/>
      <c r="AG217" s="21026"/>
      <c r="AH217" s="21026"/>
      <c r="AI217" s="21026"/>
      <c r="AJ217" s="21025"/>
      <c r="AK217" s="21026"/>
      <c r="AL217" s="21026"/>
      <c r="AM217" s="21026"/>
      <c r="AN217" s="21026"/>
      <c r="AO217" s="21026"/>
      <c r="AP217" s="21027"/>
      <c r="AQ217" s="21025"/>
      <c r="AR217" s="21026"/>
      <c r="AS217" s="21026"/>
      <c r="AT217" s="21026"/>
      <c r="AU217" s="21026"/>
      <c r="AV217" s="21026"/>
      <c r="AW217" s="21027"/>
      <c r="AX217" s="21025"/>
      <c r="AY217" s="21026"/>
      <c r="AZ217" s="21026"/>
      <c r="BA217" s="21026"/>
      <c r="BB217" s="21026"/>
      <c r="BC217" s="21026"/>
      <c r="BD217" s="21027"/>
      <c r="BE217" s="21025"/>
      <c r="BF217" s="21026"/>
      <c r="BG217" s="21026"/>
      <c r="BH217" s="21026"/>
      <c r="BI217" s="21026"/>
      <c r="BJ217" s="21026"/>
      <c r="BK217" s="21027"/>
      <c r="BL217" s="21025"/>
      <c r="BM217" s="21026"/>
      <c r="BN217" s="21026"/>
      <c r="BO217" s="21026"/>
      <c r="BP217" s="21026"/>
      <c r="BQ217" s="21026"/>
      <c r="BR217" s="21027"/>
      <c r="BS217" s="21025"/>
      <c r="BT217" s="21026"/>
      <c r="BU217" s="21026"/>
      <c r="BV217" s="21026"/>
      <c r="BW217" s="21026"/>
      <c r="BX217" s="21026"/>
      <c r="BY217" s="21027"/>
      <c r="BZ217" s="21025"/>
      <c r="CA217" s="21026"/>
      <c r="CB217" s="21026"/>
      <c r="CC217" s="21026"/>
      <c r="CD217" s="21026"/>
      <c r="CE217" s="21026"/>
      <c r="CF217" s="21027"/>
      <c r="CG217" s="21025"/>
      <c r="CH217" s="21026"/>
      <c r="CI217" s="21026"/>
      <c r="CJ217" s="21026"/>
      <c r="CK217" s="21026"/>
      <c r="CL217" s="21026"/>
      <c r="CM217" s="21027"/>
      <c r="CN217" s="21025"/>
      <c r="CO217" s="21026"/>
      <c r="CP217" s="21026"/>
      <c r="CQ217" s="21026"/>
      <c r="CR217" s="21026"/>
      <c r="CS217" s="21026"/>
      <c r="CT217" s="21027"/>
      <c r="CU217" s="21027"/>
      <c r="CV217" s="21632" t="s">
        <v>618</v>
      </c>
      <c r="CW217" s="21281"/>
      <c r="CX217" s="21633"/>
      <c r="CY217" s="21633" t="str">
        <f>IF(T217="","",T217)</f>
        <v>Наименование централизованной системы холодного водоснабжения</v>
      </c>
      <c r="CZ217" s="21633"/>
      <c r="DA217" s="21633"/>
      <c r="DB217" s="21020">
        <v>0</v>
      </c>
    </row>
    <row s="56750" customFormat="1" customHeight="1" ht="23.25">
      <c r="A218" s="21621"/>
      <c r="B218" s="21621"/>
      <c r="C218" s="21621"/>
      <c r="D218" s="21621"/>
      <c r="E218" s="21622"/>
      <c r="F218" s="21622" t="s">
        <v>140</v>
      </c>
      <c r="G218" s="21622"/>
      <c r="H218" s="21622"/>
      <c r="I218" s="21638" t="str">
        <f>S217&amp;".1"</f>
        <v>1.10.1.1</v>
      </c>
      <c r="J218" s="21621"/>
      <c r="K218" s="21621"/>
      <c r="L218" s="21624"/>
      <c r="M218" s="21639"/>
      <c r="N218" s="21639"/>
      <c r="O218" s="21639"/>
      <c r="P218" s="21640">
        <v>1</v>
      </c>
      <c r="Q218" s="21640"/>
      <c r="R218" s="21641"/>
      <c r="S218" s="21629" t="str">
        <f>$I218</f>
        <v>1.10.1.1</v>
      </c>
      <c r="T218" s="21642" t="s">
        <v>619</v>
      </c>
      <c r="U218" s="21631"/>
      <c r="V218" s="21038"/>
      <c r="W218" s="21039"/>
      <c r="X218" s="21039"/>
      <c r="Y218" s="21039"/>
      <c r="Z218" s="21039"/>
      <c r="AA218" s="21039"/>
      <c r="AB218" s="21040"/>
      <c r="AC218" s="21643"/>
      <c r="AD218" s="21644"/>
      <c r="AE218" s="21644"/>
      <c r="AF218" s="21644"/>
      <c r="AG218" s="21644"/>
      <c r="AH218" s="21644"/>
      <c r="AI218" s="21644"/>
      <c r="AJ218" s="21038"/>
      <c r="AK218" s="21039"/>
      <c r="AL218" s="21039"/>
      <c r="AM218" s="21039"/>
      <c r="AN218" s="21039"/>
      <c r="AO218" s="21039"/>
      <c r="AP218" s="21040"/>
      <c r="AQ218" s="21038"/>
      <c r="AR218" s="21039"/>
      <c r="AS218" s="21039"/>
      <c r="AT218" s="21039"/>
      <c r="AU218" s="21039"/>
      <c r="AV218" s="21039"/>
      <c r="AW218" s="21040"/>
      <c r="AX218" s="21038"/>
      <c r="AY218" s="21039"/>
      <c r="AZ218" s="21039"/>
      <c r="BA218" s="21039"/>
      <c r="BB218" s="21039"/>
      <c r="BC218" s="21039"/>
      <c r="BD218" s="21040"/>
      <c r="BE218" s="21038"/>
      <c r="BF218" s="21039"/>
      <c r="BG218" s="21039"/>
      <c r="BH218" s="21039"/>
      <c r="BI218" s="21039"/>
      <c r="BJ218" s="21039"/>
      <c r="BK218" s="21040"/>
      <c r="BL218" s="21038"/>
      <c r="BM218" s="21039"/>
      <c r="BN218" s="21039"/>
      <c r="BO218" s="21039"/>
      <c r="BP218" s="21039"/>
      <c r="BQ218" s="21039"/>
      <c r="BR218" s="21040"/>
      <c r="BS218" s="21038"/>
      <c r="BT218" s="21039"/>
      <c r="BU218" s="21039"/>
      <c r="BV218" s="21039"/>
      <c r="BW218" s="21039"/>
      <c r="BX218" s="21039"/>
      <c r="BY218" s="21040"/>
      <c r="BZ218" s="21038"/>
      <c r="CA218" s="21039"/>
      <c r="CB218" s="21039"/>
      <c r="CC218" s="21039"/>
      <c r="CD218" s="21039"/>
      <c r="CE218" s="21039"/>
      <c r="CF218" s="21040"/>
      <c r="CG218" s="21038"/>
      <c r="CH218" s="21039"/>
      <c r="CI218" s="21039"/>
      <c r="CJ218" s="21039"/>
      <c r="CK218" s="21039"/>
      <c r="CL218" s="21039"/>
      <c r="CM218" s="21040"/>
      <c r="CN218" s="21038"/>
      <c r="CO218" s="21039"/>
      <c r="CP218" s="21039"/>
      <c r="CQ218" s="21039"/>
      <c r="CR218" s="21039"/>
      <c r="CS218" s="21039"/>
      <c r="CT218" s="21040"/>
      <c r="CU218" s="21645"/>
      <c r="CV218" s="21632" t="s">
        <v>620</v>
      </c>
      <c r="CW218" s="21281"/>
      <c r="CX218" s="21633"/>
      <c r="CY218" s="21633" t="str">
        <f>IF(T218="","",T218)</f>
        <v>Наименование признака дифференциации</v>
      </c>
      <c r="CZ218" s="21633"/>
      <c r="DA218" s="21633"/>
      <c r="DB218" s="21020">
        <v>0</v>
      </c>
    </row>
    <row s="56751" customFormat="1" customHeight="1" ht="23.25">
      <c r="A219" s="21621"/>
      <c r="B219" s="21621"/>
      <c r="C219" s="21621"/>
      <c r="D219" s="21621"/>
      <c r="E219" s="21622"/>
      <c r="F219" s="21622" t="s">
        <v>140</v>
      </c>
      <c r="G219" s="21622"/>
      <c r="H219" s="21622"/>
      <c r="I219" s="21647"/>
      <c r="J219" s="21638" t="str">
        <f>I218&amp;".1"</f>
        <v>1.10.1.1.1</v>
      </c>
      <c r="K219" s="21621"/>
      <c r="L219" s="21624" t="s">
        <v>545</v>
      </c>
      <c r="M219" s="21639"/>
      <c r="N219" s="21639"/>
      <c r="O219" s="21639"/>
      <c r="P219" s="21640"/>
      <c r="Q219" s="21640">
        <v>1</v>
      </c>
      <c r="R219" s="21648"/>
      <c r="S219" s="21629" t="str">
        <f>$J219</f>
        <v>1.10.1.1.1</v>
      </c>
      <c r="T219" s="21649" t="s">
        <v>546</v>
      </c>
      <c r="U219" s="21631"/>
      <c r="V219" s="21045"/>
      <c r="W219" s="21046"/>
      <c r="X219" s="21046"/>
      <c r="Y219" s="21046"/>
      <c r="Z219" s="21046"/>
      <c r="AA219" s="21046"/>
      <c r="AB219" s="21047"/>
      <c r="AC219" s="21045" t="s">
        <v>632</v>
      </c>
      <c r="AD219" s="21046"/>
      <c r="AE219" s="21046"/>
      <c r="AF219" s="21046"/>
      <c r="AG219" s="21046"/>
      <c r="AH219" s="21046"/>
      <c r="AI219" s="21046"/>
      <c r="AJ219" s="21045"/>
      <c r="AK219" s="21046"/>
      <c r="AL219" s="21046"/>
      <c r="AM219" s="21046"/>
      <c r="AN219" s="21046"/>
      <c r="AO219" s="21046"/>
      <c r="AP219" s="21047"/>
      <c r="AQ219" s="21045"/>
      <c r="AR219" s="21046"/>
      <c r="AS219" s="21046"/>
      <c r="AT219" s="21046"/>
      <c r="AU219" s="21046"/>
      <c r="AV219" s="21046"/>
      <c r="AW219" s="21047"/>
      <c r="AX219" s="21045"/>
      <c r="AY219" s="21046"/>
      <c r="AZ219" s="21046"/>
      <c r="BA219" s="21046"/>
      <c r="BB219" s="21046"/>
      <c r="BC219" s="21046"/>
      <c r="BD219" s="21047"/>
      <c r="BE219" s="21045"/>
      <c r="BF219" s="21046"/>
      <c r="BG219" s="21046"/>
      <c r="BH219" s="21046"/>
      <c r="BI219" s="21046"/>
      <c r="BJ219" s="21046"/>
      <c r="BK219" s="21047"/>
      <c r="BL219" s="21045"/>
      <c r="BM219" s="21046"/>
      <c r="BN219" s="21046"/>
      <c r="BO219" s="21046"/>
      <c r="BP219" s="21046"/>
      <c r="BQ219" s="21046"/>
      <c r="BR219" s="21047"/>
      <c r="BS219" s="21045"/>
      <c r="BT219" s="21046"/>
      <c r="BU219" s="21046"/>
      <c r="BV219" s="21046"/>
      <c r="BW219" s="21046"/>
      <c r="BX219" s="21046"/>
      <c r="BY219" s="21047"/>
      <c r="BZ219" s="21045"/>
      <c r="CA219" s="21046"/>
      <c r="CB219" s="21046"/>
      <c r="CC219" s="21046"/>
      <c r="CD219" s="21046"/>
      <c r="CE219" s="21046"/>
      <c r="CF219" s="21047"/>
      <c r="CG219" s="21045"/>
      <c r="CH219" s="21046"/>
      <c r="CI219" s="21046"/>
      <c r="CJ219" s="21046"/>
      <c r="CK219" s="21046"/>
      <c r="CL219" s="21046"/>
      <c r="CM219" s="21047"/>
      <c r="CN219" s="21045"/>
      <c r="CO219" s="21046"/>
      <c r="CP219" s="21046"/>
      <c r="CQ219" s="21046"/>
      <c r="CR219" s="21046"/>
      <c r="CS219" s="21046"/>
      <c r="CT219" s="21047"/>
      <c r="CU219" s="21047"/>
      <c r="CV219" s="21650" t="s">
        <v>621</v>
      </c>
      <c r="CW219" s="21281"/>
      <c r="CX219" s="21633"/>
      <c r="CY219" s="21633" t="str">
        <f>IF(T219="","",T219)</f>
        <v>Группа потребителей</v>
      </c>
      <c r="CZ219" s="21633"/>
      <c r="DA219" s="21633"/>
      <c r="DB219" s="21020">
        <v>0</v>
      </c>
    </row>
    <row s="56752" customFormat="1" customHeight="1" ht="23.25">
      <c r="A220" s="21621"/>
      <c r="B220" s="21621"/>
      <c r="C220" s="21621"/>
      <c r="D220" s="21621"/>
      <c r="E220" s="21622"/>
      <c r="F220" s="21622" t="s">
        <v>140</v>
      </c>
      <c r="G220" s="21622"/>
      <c r="H220" s="21622"/>
      <c r="I220" s="21647"/>
      <c r="J220" s="21647"/>
      <c r="K220" s="21638" t="str">
        <f>J219&amp;".1"</f>
        <v>1.10.1.1.1.1</v>
      </c>
      <c r="L220" s="21624"/>
      <c r="M220" s="21639"/>
      <c r="N220" s="21639"/>
      <c r="O220" s="21639"/>
      <c r="P220" s="21640"/>
      <c r="Q220" s="21640"/>
      <c r="R220" s="21648">
        <v>1</v>
      </c>
      <c r="S220" s="21629" t="str">
        <f>$K220</f>
        <v>1.10.1.1.1.1</v>
      </c>
      <c r="T220" s="21652"/>
      <c r="U220" s="21631"/>
      <c r="V220" s="21053"/>
      <c r="W220" s="21053"/>
      <c r="X220" s="21054"/>
      <c r="Y220" s="21055"/>
      <c r="Z220" s="21056" t="s">
        <v>63</v>
      </c>
      <c r="AA220" s="21055"/>
      <c r="AB220" s="21056" t="s">
        <v>63</v>
      </c>
      <c r="AC220" s="21053">
        <v>57.73</v>
      </c>
      <c r="AD220" s="21053"/>
      <c r="AE220" s="21054"/>
      <c r="AF220" s="44875">
        <v>45292.471724537034</v>
      </c>
      <c r="AG220" s="21056" t="s">
        <v>63</v>
      </c>
      <c r="AH220" s="44876">
        <v>45473.47199074074</v>
      </c>
      <c r="AI220" s="21056" t="s">
        <v>63</v>
      </c>
      <c r="AJ220" s="21053">
        <v>65.81</v>
      </c>
      <c r="AK220" s="21053"/>
      <c r="AL220" s="21054"/>
      <c r="AM220" s="44875">
        <v>45474.47246527778</v>
      </c>
      <c r="AN220" s="21056" t="s">
        <v>63</v>
      </c>
      <c r="AO220" s="44875">
        <v>45657.472604166665</v>
      </c>
      <c r="AP220" s="21056" t="s">
        <v>63</v>
      </c>
      <c r="AQ220" s="21053">
        <v>65.81</v>
      </c>
      <c r="AR220" s="21053"/>
      <c r="AS220" s="21054"/>
      <c r="AT220" s="44875">
        <v>45658.473020833335</v>
      </c>
      <c r="AU220" s="21056" t="s">
        <v>63</v>
      </c>
      <c r="AV220" s="44875">
        <v>45838.47325231481</v>
      </c>
      <c r="AW220" s="21056" t="s">
        <v>63</v>
      </c>
      <c r="AX220" s="21053">
        <v>75.68</v>
      </c>
      <c r="AY220" s="21053"/>
      <c r="AZ220" s="21054"/>
      <c r="BA220" s="44875">
        <v>45839.473969907405</v>
      </c>
      <c r="BB220" s="21056" t="s">
        <v>63</v>
      </c>
      <c r="BC220" s="44875">
        <v>46022.474224537036</v>
      </c>
      <c r="BD220" s="21056" t="s">
        <v>63</v>
      </c>
      <c r="BE220" s="21053">
        <v>75.68</v>
      </c>
      <c r="BF220" s="21053"/>
      <c r="BG220" s="21054"/>
      <c r="BH220" s="44875">
        <v>46023.474444444444</v>
      </c>
      <c r="BI220" s="21056" t="s">
        <v>63</v>
      </c>
      <c r="BJ220" s="44875">
        <v>46203.47483796296</v>
      </c>
      <c r="BK220" s="21056" t="s">
        <v>63</v>
      </c>
      <c r="BL220" s="21053">
        <v>79.46</v>
      </c>
      <c r="BM220" s="21053"/>
      <c r="BN220" s="21054"/>
      <c r="BO220" s="44875">
        <v>46204.4759375</v>
      </c>
      <c r="BP220" s="21056" t="s">
        <v>63</v>
      </c>
      <c r="BQ220" s="44875">
        <v>46387.47622685185</v>
      </c>
      <c r="BR220" s="21056" t="s">
        <v>63</v>
      </c>
      <c r="BS220" s="21053">
        <v>79.46</v>
      </c>
      <c r="BT220" s="21053"/>
      <c r="BU220" s="21054"/>
      <c r="BV220" s="44875">
        <v>46388.47646990741</v>
      </c>
      <c r="BW220" s="21056" t="s">
        <v>63</v>
      </c>
      <c r="BX220" s="44875">
        <v>46568.476643518516</v>
      </c>
      <c r="BY220" s="21056" t="s">
        <v>63</v>
      </c>
      <c r="BZ220" s="21053">
        <v>82.64</v>
      </c>
      <c r="CA220" s="21053"/>
      <c r="CB220" s="21054"/>
      <c r="CC220" s="44875">
        <v>46569.47721064815</v>
      </c>
      <c r="CD220" s="21056" t="s">
        <v>63</v>
      </c>
      <c r="CE220" s="44875">
        <v>46752.47755787037</v>
      </c>
      <c r="CF220" s="21056" t="s">
        <v>63</v>
      </c>
      <c r="CG220" s="21053">
        <v>81.28</v>
      </c>
      <c r="CH220" s="21053"/>
      <c r="CI220" s="21054"/>
      <c r="CJ220" s="44875">
        <v>46753.47802083333</v>
      </c>
      <c r="CK220" s="21056" t="s">
        <v>63</v>
      </c>
      <c r="CL220" s="44875">
        <v>46934.47829861111</v>
      </c>
      <c r="CM220" s="21056" t="s">
        <v>63</v>
      </c>
      <c r="CN220" s="21053">
        <v>81.28</v>
      </c>
      <c r="CO220" s="21053"/>
      <c r="CP220" s="21054"/>
      <c r="CQ220" s="44875">
        <v>46935.478784722225</v>
      </c>
      <c r="CR220" s="21056" t="s">
        <v>63</v>
      </c>
      <c r="CS220" s="44875">
        <v>47118.47924768519</v>
      </c>
      <c r="CT220" s="21056" t="s">
        <v>63</v>
      </c>
      <c r="CU220" s="21653"/>
      <c r="CV220"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0" s="21281">
        <f>STRCHECKDATE(V221:CU221)</f>
      </c>
      <c r="CX220" s="21633"/>
      <c r="CY220" s="21633" t="str">
        <f>IF(T220="","",T220)</f>
        <v/>
      </c>
      <c r="CZ220" s="21633"/>
      <c r="DA220" s="21633"/>
      <c r="DB220" s="21020">
        <v>0</v>
      </c>
    </row>
    <row s="56753" customFormat="1" customHeight="1" ht="14.25">
      <c r="A221" s="21621"/>
      <c r="B221" s="21621"/>
      <c r="C221" s="21621"/>
      <c r="D221" s="21621"/>
      <c r="E221" s="21622"/>
      <c r="F221" s="21622" t="s">
        <v>140</v>
      </c>
      <c r="G221" s="21622"/>
      <c r="H221" s="21622"/>
      <c r="I221" s="21647"/>
      <c r="J221" s="21647"/>
      <c r="K221" s="21638"/>
      <c r="L221" s="21624"/>
      <c r="M221" s="21639"/>
      <c r="N221" s="21639"/>
      <c r="O221" s="21639"/>
      <c r="P221" s="21640"/>
      <c r="Q221" s="21640"/>
      <c r="R221" s="21648"/>
      <c r="S221" s="21656"/>
      <c r="T221" s="21631"/>
      <c r="U221" s="21631"/>
      <c r="V221" s="21063"/>
      <c r="W221" s="21063"/>
      <c r="X221" s="21064" t="str">
        <f>Y220&amp;"-"&amp;AA220</f>
        <v>-</v>
      </c>
      <c r="Y221" s="21065"/>
      <c r="Z221" s="21056"/>
      <c r="AA221" s="21065"/>
      <c r="AB221" s="21056"/>
      <c r="AC221" s="21063"/>
      <c r="AD221" s="21063"/>
      <c r="AE221" s="21064" t="str">
        <f>AF220&amp;"-"&amp;AH220</f>
        <v>45292.471724537034-45473.47199074074</v>
      </c>
      <c r="AF221" s="21065"/>
      <c r="AG221" s="21056"/>
      <c r="AH221" s="21324"/>
      <c r="AI221" s="21056"/>
      <c r="AJ221" s="21063"/>
      <c r="AK221" s="21063"/>
      <c r="AL221" s="21064" t="str">
        <f>AM220&amp;"-"&amp;AO220</f>
        <v>45474.47246527778-45657.472604166665</v>
      </c>
      <c r="AM221" s="21065"/>
      <c r="AN221" s="21056"/>
      <c r="AO221" s="21065"/>
      <c r="AP221" s="21056"/>
      <c r="AQ221" s="21063"/>
      <c r="AR221" s="21063"/>
      <c r="AS221" s="21064" t="str">
        <f>AT220&amp;"-"&amp;AV220</f>
        <v>45658.473020833335-45838.47325231481</v>
      </c>
      <c r="AT221" s="21065"/>
      <c r="AU221" s="21056"/>
      <c r="AV221" s="21065"/>
      <c r="AW221" s="21056"/>
      <c r="AX221" s="21063"/>
      <c r="AY221" s="21063"/>
      <c r="AZ221" s="21064" t="str">
        <f>BA220&amp;"-"&amp;BC220</f>
        <v>45839.473969907405-46022.474224537036</v>
      </c>
      <c r="BA221" s="21065"/>
      <c r="BB221" s="21056"/>
      <c r="BC221" s="21065"/>
      <c r="BD221" s="21056"/>
      <c r="BE221" s="21063"/>
      <c r="BF221" s="21063"/>
      <c r="BG221" s="21064" t="str">
        <f>BH220&amp;"-"&amp;BJ220</f>
        <v>46023.474444444444-46203.47483796296</v>
      </c>
      <c r="BH221" s="21065"/>
      <c r="BI221" s="21056"/>
      <c r="BJ221" s="21065"/>
      <c r="BK221" s="21056"/>
      <c r="BL221" s="21063"/>
      <c r="BM221" s="21063"/>
      <c r="BN221" s="21064" t="str">
        <f>BO220&amp;"-"&amp;BQ220</f>
        <v>46204.4759375-46387.47622685185</v>
      </c>
      <c r="BO221" s="21065"/>
      <c r="BP221" s="21056"/>
      <c r="BQ221" s="21065"/>
      <c r="BR221" s="21056"/>
      <c r="BS221" s="21063"/>
      <c r="BT221" s="21063"/>
      <c r="BU221" s="21064" t="str">
        <f>BV220&amp;"-"&amp;BX220</f>
        <v>46388.47646990741-46568.476643518516</v>
      </c>
      <c r="BV221" s="21065"/>
      <c r="BW221" s="21056"/>
      <c r="BX221" s="21065"/>
      <c r="BY221" s="21056"/>
      <c r="BZ221" s="21063"/>
      <c r="CA221" s="21063"/>
      <c r="CB221" s="21064" t="str">
        <f>CC220&amp;"-"&amp;CE220</f>
        <v>46569.47721064815-46752.47755787037</v>
      </c>
      <c r="CC221" s="21065"/>
      <c r="CD221" s="21056"/>
      <c r="CE221" s="21065"/>
      <c r="CF221" s="21056"/>
      <c r="CG221" s="21063"/>
      <c r="CH221" s="21063"/>
      <c r="CI221" s="21064" t="str">
        <f>CJ220&amp;"-"&amp;CL220</f>
        <v>46753.47802083333-46934.47829861111</v>
      </c>
      <c r="CJ221" s="21065"/>
      <c r="CK221" s="21056"/>
      <c r="CL221" s="21065"/>
      <c r="CM221" s="21056"/>
      <c r="CN221" s="21063"/>
      <c r="CO221" s="21063"/>
      <c r="CP221" s="21064" t="str">
        <f>CQ220&amp;"-"&amp;CS220</f>
        <v>46935.478784722225-47118.47924768519</v>
      </c>
      <c r="CQ221" s="21065"/>
      <c r="CR221" s="21056"/>
      <c r="CS221" s="21065"/>
      <c r="CT221" s="21056"/>
      <c r="CU221" s="21657"/>
      <c r="CV221" s="21654"/>
      <c r="CW221" s="21281"/>
      <c r="CX221" s="21633"/>
      <c r="CY221" s="21633" t="str">
        <f>IF(T221="","",T221)</f>
        <v/>
      </c>
      <c r="CZ221" s="21633"/>
      <c r="DA221" s="21633"/>
      <c r="DB221" s="21020">
        <v>0</v>
      </c>
    </row>
    <row s="56754" customFormat="1" customHeight="1" ht="21">
      <c r="A222" s="21621"/>
      <c r="B222" s="21621"/>
      <c r="C222" s="21621"/>
      <c r="D222" s="21621"/>
      <c r="E222" s="21622"/>
      <c r="F222" s="21622" t="s">
        <v>140</v>
      </c>
      <c r="G222" s="21622"/>
      <c r="H222" s="21622"/>
      <c r="I222" s="21647"/>
      <c r="J222" s="21638"/>
      <c r="K222" s="21621"/>
      <c r="L222" s="21624"/>
      <c r="M222" s="21639"/>
      <c r="N222" s="21639"/>
      <c r="O222" s="21639"/>
      <c r="P222" s="21640"/>
      <c r="Q222" s="21640"/>
      <c r="R222" s="21641"/>
      <c r="S222" s="25232"/>
      <c r="T222" s="25233" t="s">
        <v>622</v>
      </c>
      <c r="U222" s="25234"/>
      <c r="V222" s="25235"/>
      <c r="W222" s="25236"/>
      <c r="X222" s="25237"/>
      <c r="Y222" s="25238"/>
      <c r="Z222" s="25239"/>
      <c r="AA222" s="25240"/>
      <c r="AB222" s="25241"/>
      <c r="AC222" s="25242"/>
      <c r="AD222" s="25243"/>
      <c r="AE222" s="25244"/>
      <c r="AF222" s="25245"/>
      <c r="AG222" s="25246"/>
      <c r="AH222" s="25247"/>
      <c r="AI222" s="25248"/>
      <c r="AJ222" s="25249"/>
      <c r="AK222" s="25250"/>
      <c r="AL222" s="25251"/>
      <c r="AM222" s="25252"/>
      <c r="AN222" s="25253"/>
      <c r="AO222" s="25254"/>
      <c r="AP222" s="25255"/>
      <c r="AQ222" s="25256"/>
      <c r="AR222" s="25257"/>
      <c r="AS222" s="25258"/>
      <c r="AT222" s="25259"/>
      <c r="AU222" s="25260"/>
      <c r="AV222" s="25261"/>
      <c r="AW222" s="25262"/>
      <c r="AX222" s="25263"/>
      <c r="AY222" s="25264"/>
      <c r="AZ222" s="25265"/>
      <c r="BA222" s="25266"/>
      <c r="BB222" s="25267"/>
      <c r="BC222" s="25268"/>
      <c r="BD222" s="25269"/>
      <c r="BE222" s="25270"/>
      <c r="BF222" s="25271"/>
      <c r="BG222" s="25272"/>
      <c r="BH222" s="25273"/>
      <c r="BI222" s="25274"/>
      <c r="BJ222" s="25275"/>
      <c r="BK222" s="25276"/>
      <c r="BL222" s="25277"/>
      <c r="BM222" s="25278"/>
      <c r="BN222" s="25279"/>
      <c r="BO222" s="25280"/>
      <c r="BP222" s="25281"/>
      <c r="BQ222" s="25282"/>
      <c r="BR222" s="25283"/>
      <c r="BS222" s="25284"/>
      <c r="BT222" s="25285"/>
      <c r="BU222" s="25286"/>
      <c r="BV222" s="25287"/>
      <c r="BW222" s="25288"/>
      <c r="BX222" s="25289"/>
      <c r="BY222" s="25290"/>
      <c r="BZ222" s="25291"/>
      <c r="CA222" s="25292"/>
      <c r="CB222" s="25293"/>
      <c r="CC222" s="25294"/>
      <c r="CD222" s="25295"/>
      <c r="CE222" s="25296"/>
      <c r="CF222" s="25297"/>
      <c r="CG222" s="25298"/>
      <c r="CH222" s="25299"/>
      <c r="CI222" s="25300"/>
      <c r="CJ222" s="25301"/>
      <c r="CK222" s="25302"/>
      <c r="CL222" s="25303"/>
      <c r="CM222" s="25304"/>
      <c r="CN222" s="25305"/>
      <c r="CO222" s="25306"/>
      <c r="CP222" s="25307"/>
      <c r="CQ222" s="25308"/>
      <c r="CR222" s="25309"/>
      <c r="CS222" s="25310"/>
      <c r="CT222" s="25311"/>
      <c r="CU222" s="25312"/>
      <c r="CV222" s="21632" t="s">
        <v>623</v>
      </c>
      <c r="CW222" s="21281"/>
      <c r="CX222" s="21633"/>
      <c r="CY222" s="21633" t="str">
        <f>IF(T222="","",T222)</f>
        <v>Добавить значение признака дифференциации</v>
      </c>
      <c r="CZ222" s="21633"/>
      <c r="DA222" s="21633"/>
      <c r="DB222" s="21020">
        <v>0</v>
      </c>
    </row>
    <row s="56836" customFormat="1" customHeight="1" ht="23.25">
      <c r="A223" s="33106"/>
      <c r="B223" s="33106"/>
      <c r="C223" s="33106"/>
      <c r="D223" s="33106"/>
      <c r="E223" s="33107"/>
      <c r="F223" s="33107"/>
      <c r="G223" s="33107"/>
      <c r="H223" s="33107"/>
      <c r="I223" s="33108"/>
      <c r="J223" s="33109" t="str">
        <f>I218&amp;".2"</f>
        <v>1.10.1.1.2</v>
      </c>
      <c r="K223" s="33106"/>
      <c r="L223" s="33110" t="s">
        <v>545</v>
      </c>
      <c r="M223" s="33111"/>
      <c r="N223" s="33111"/>
      <c r="O223" s="33111"/>
      <c r="P223" s="33112"/>
      <c r="Q223" s="33113" t="s">
        <v>106</v>
      </c>
      <c r="R223" s="33114"/>
      <c r="S223" s="33115" t="str">
        <f>$J223</f>
        <v>1.10.1.1.2</v>
      </c>
      <c r="T223" s="33116" t="s">
        <v>546</v>
      </c>
      <c r="U223" s="33117"/>
      <c r="V223" s="33118"/>
      <c r="W223" s="33119"/>
      <c r="X223" s="33119"/>
      <c r="Y223" s="33119"/>
      <c r="Z223" s="33119"/>
      <c r="AA223" s="33119"/>
      <c r="AB223" s="33120"/>
      <c r="AC223" s="33118" t="s">
        <v>633</v>
      </c>
      <c r="AD223" s="33119"/>
      <c r="AE223" s="33119"/>
      <c r="AF223" s="33119"/>
      <c r="AG223" s="33119"/>
      <c r="AH223" s="33119"/>
      <c r="AI223" s="33119"/>
      <c r="AJ223" s="33118"/>
      <c r="AK223" s="33119"/>
      <c r="AL223" s="33119"/>
      <c r="AM223" s="33119"/>
      <c r="AN223" s="33119"/>
      <c r="AO223" s="33119"/>
      <c r="AP223" s="33120"/>
      <c r="AQ223" s="33118"/>
      <c r="AR223" s="33119"/>
      <c r="AS223" s="33119"/>
      <c r="AT223" s="33119"/>
      <c r="AU223" s="33119"/>
      <c r="AV223" s="33119"/>
      <c r="AW223" s="33120"/>
      <c r="AX223" s="33118"/>
      <c r="AY223" s="33119"/>
      <c r="AZ223" s="33119"/>
      <c r="BA223" s="33119"/>
      <c r="BB223" s="33119"/>
      <c r="BC223" s="33119"/>
      <c r="BD223" s="33120"/>
      <c r="BE223" s="33118"/>
      <c r="BF223" s="33119"/>
      <c r="BG223" s="33119"/>
      <c r="BH223" s="33119"/>
      <c r="BI223" s="33119"/>
      <c r="BJ223" s="33119"/>
      <c r="BK223" s="33120"/>
      <c r="BL223" s="33118"/>
      <c r="BM223" s="33119"/>
      <c r="BN223" s="33119"/>
      <c r="BO223" s="33119"/>
      <c r="BP223" s="33119"/>
      <c r="BQ223" s="33119"/>
      <c r="BR223" s="33120"/>
      <c r="BS223" s="33118"/>
      <c r="BT223" s="33119"/>
      <c r="BU223" s="33119"/>
      <c r="BV223" s="33119"/>
      <c r="BW223" s="33119"/>
      <c r="BX223" s="33119"/>
      <c r="BY223" s="33120"/>
      <c r="BZ223" s="33118"/>
      <c r="CA223" s="33119"/>
      <c r="CB223" s="33119"/>
      <c r="CC223" s="33119"/>
      <c r="CD223" s="33119"/>
      <c r="CE223" s="33119"/>
      <c r="CF223" s="33120"/>
      <c r="CG223" s="33118"/>
      <c r="CH223" s="33119"/>
      <c r="CI223" s="33119"/>
      <c r="CJ223" s="33119"/>
      <c r="CK223" s="33119"/>
      <c r="CL223" s="33119"/>
      <c r="CM223" s="33120"/>
      <c r="CN223" s="33118"/>
      <c r="CO223" s="33119"/>
      <c r="CP223" s="33119"/>
      <c r="CQ223" s="33119"/>
      <c r="CR223" s="33119"/>
      <c r="CS223" s="33119"/>
      <c r="CT223" s="33121"/>
      <c r="CU223" s="33120"/>
      <c r="CV223" s="33122" t="s">
        <v>621</v>
      </c>
      <c r="CW223" s="33123"/>
      <c r="CX223" s="33124"/>
      <c r="CY223" s="33124" t="str">
        <f>IF(T223="","",T223)</f>
        <v>Группа потребителей</v>
      </c>
      <c r="CZ223" s="33124"/>
      <c r="DA223" s="33124"/>
      <c r="DB223" s="33125">
        <v>0</v>
      </c>
    </row>
    <row s="56837" customFormat="1" customHeight="1" ht="23.25">
      <c r="A224" s="33106"/>
      <c r="B224" s="33106"/>
      <c r="C224" s="33106"/>
      <c r="D224" s="33106"/>
      <c r="E224" s="33107"/>
      <c r="F224" s="33107"/>
      <c r="G224" s="33107"/>
      <c r="H224" s="33107"/>
      <c r="I224" s="33108"/>
      <c r="J224" s="33108" t="str">
        <f>I218&amp;".1"</f>
        <v>1.10.1.1.1</v>
      </c>
      <c r="K224" s="33109" t="str">
        <f>J223&amp;".1"</f>
        <v>1.10.1.1.2.1</v>
      </c>
      <c r="L224" s="33110"/>
      <c r="M224" s="33111"/>
      <c r="N224" s="33111"/>
      <c r="O224" s="33111"/>
      <c r="P224" s="33112"/>
      <c r="Q224" s="33112"/>
      <c r="R224" s="33114">
        <v>1</v>
      </c>
      <c r="S224" s="33115" t="str">
        <f>$K224</f>
        <v>1.10.1.1.2.1</v>
      </c>
      <c r="T224" s="33127"/>
      <c r="U224" s="33117"/>
      <c r="V224" s="33128"/>
      <c r="W224" s="33128"/>
      <c r="X224" s="33129"/>
      <c r="Y224" s="33020"/>
      <c r="Z224" s="33130" t="s">
        <v>63</v>
      </c>
      <c r="AA224" s="33020"/>
      <c r="AB224" s="33130" t="s">
        <v>63</v>
      </c>
      <c r="AC224" s="33128">
        <v>48.11</v>
      </c>
      <c r="AD224" s="33128"/>
      <c r="AE224" s="33129"/>
      <c r="AF224" s="44875">
        <v>45292.4718287037</v>
      </c>
      <c r="AG224" s="33130" t="s">
        <v>63</v>
      </c>
      <c r="AH224" s="44876">
        <v>45473.47211805556</v>
      </c>
      <c r="AI224" s="33130" t="s">
        <v>63</v>
      </c>
      <c r="AJ224" s="33128">
        <v>54.84</v>
      </c>
      <c r="AK224" s="33128"/>
      <c r="AL224" s="33129"/>
      <c r="AM224" s="44875">
        <v>45474.47253472222</v>
      </c>
      <c r="AN224" s="33130" t="s">
        <v>63</v>
      </c>
      <c r="AO224" s="44875">
        <v>45657.47267361111</v>
      </c>
      <c r="AP224" s="33130" t="s">
        <v>63</v>
      </c>
      <c r="AQ224" s="33128">
        <v>54.84</v>
      </c>
      <c r="AR224" s="33128"/>
      <c r="AS224" s="33129"/>
      <c r="AT224" s="44875">
        <v>45658.47314814815</v>
      </c>
      <c r="AU224" s="33130" t="s">
        <v>63</v>
      </c>
      <c r="AV224" s="44875">
        <v>45838.47337962963</v>
      </c>
      <c r="AW224" s="33130" t="s">
        <v>63</v>
      </c>
      <c r="AX224" s="33128">
        <v>63.07</v>
      </c>
      <c r="AY224" s="33128"/>
      <c r="AZ224" s="33129"/>
      <c r="BA224" s="44875">
        <v>45839.4740625</v>
      </c>
      <c r="BB224" s="33130" t="s">
        <v>63</v>
      </c>
      <c r="BC224" s="44875">
        <v>46022.47431712963</v>
      </c>
      <c r="BD224" s="33130" t="s">
        <v>63</v>
      </c>
      <c r="BE224" s="33128">
        <v>63.07</v>
      </c>
      <c r="BF224" s="33128"/>
      <c r="BG224" s="33129"/>
      <c r="BH224" s="44875">
        <v>46023.47457175926</v>
      </c>
      <c r="BI224" s="33130" t="s">
        <v>63</v>
      </c>
      <c r="BJ224" s="44875">
        <v>46203.47505787037</v>
      </c>
      <c r="BK224" s="33130" t="s">
        <v>63</v>
      </c>
      <c r="BL224" s="33128">
        <v>66.22</v>
      </c>
      <c r="BM224" s="33128"/>
      <c r="BN224" s="33129"/>
      <c r="BO224" s="44875">
        <v>46204.47608796296</v>
      </c>
      <c r="BP224" s="33130" t="s">
        <v>63</v>
      </c>
      <c r="BQ224" s="44875">
        <v>46387.4762962963</v>
      </c>
      <c r="BR224" s="33130" t="s">
        <v>63</v>
      </c>
      <c r="BS224" s="33128">
        <v>66.22</v>
      </c>
      <c r="BT224" s="33128"/>
      <c r="BU224" s="33129"/>
      <c r="BV224" s="44875">
        <v>46388.47657407408</v>
      </c>
      <c r="BW224" s="33130" t="s">
        <v>63</v>
      </c>
      <c r="BX224" s="44875">
        <v>46568.47677083333</v>
      </c>
      <c r="BY224" s="33130" t="s">
        <v>63</v>
      </c>
      <c r="BZ224" s="33128">
        <v>68.87</v>
      </c>
      <c r="CA224" s="33128"/>
      <c r="CB224" s="33129"/>
      <c r="CC224" s="44875">
        <v>46569.477314814816</v>
      </c>
      <c r="CD224" s="33130" t="s">
        <v>63</v>
      </c>
      <c r="CE224" s="44875">
        <v>46752.47767361111</v>
      </c>
      <c r="CF224" s="33130" t="s">
        <v>63</v>
      </c>
      <c r="CG224" s="33128">
        <v>67.73</v>
      </c>
      <c r="CH224" s="33128"/>
      <c r="CI224" s="33129"/>
      <c r="CJ224" s="44875">
        <v>46753.47814814815</v>
      </c>
      <c r="CK224" s="33130" t="s">
        <v>63</v>
      </c>
      <c r="CL224" s="44875">
        <v>46934.478425925925</v>
      </c>
      <c r="CM224" s="33130" t="s">
        <v>63</v>
      </c>
      <c r="CN224" s="33128">
        <v>67.73</v>
      </c>
      <c r="CO224" s="33128"/>
      <c r="CP224" s="33129"/>
      <c r="CQ224" s="44875">
        <v>46935.47888888889</v>
      </c>
      <c r="CR224" s="33130" t="s">
        <v>63</v>
      </c>
      <c r="CS224" s="44875">
        <v>47118.4793287037</v>
      </c>
      <c r="CT224" s="33131" t="s">
        <v>63</v>
      </c>
      <c r="CU224" s="33132"/>
      <c r="CV224"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4" s="33123">
        <f>STRCHECKDATE(V225:CU225)</f>
      </c>
      <c r="CX224" s="33124"/>
      <c r="CY224" s="33124" t="str">
        <f>IF(T224="","",T224)</f>
        <v/>
      </c>
      <c r="CZ224" s="33124"/>
      <c r="DA224" s="33124"/>
      <c r="DB224" s="33125">
        <v>0</v>
      </c>
    </row>
    <row s="56838" customFormat="1" customHeight="1" ht="14.25">
      <c r="A225" s="33106"/>
      <c r="B225" s="33106"/>
      <c r="C225" s="33106"/>
      <c r="D225" s="33106"/>
      <c r="E225" s="33107"/>
      <c r="F225" s="33107"/>
      <c r="G225" s="33107"/>
      <c r="H225" s="33107"/>
      <c r="I225" s="33108"/>
      <c r="J225" s="33108" t="str">
        <f>I218&amp;".1"</f>
        <v>1.10.1.1.1</v>
      </c>
      <c r="K225" s="33109"/>
      <c r="L225" s="33110"/>
      <c r="M225" s="33111"/>
      <c r="N225" s="33111"/>
      <c r="O225" s="33111"/>
      <c r="P225" s="33112"/>
      <c r="Q225" s="33112"/>
      <c r="R225" s="33114"/>
      <c r="S225" s="33135"/>
      <c r="T225" s="33117"/>
      <c r="U225" s="33117"/>
      <c r="V225" s="33136"/>
      <c r="W225" s="33136"/>
      <c r="X225" s="33137" t="str">
        <f>Y224&amp;"-"&amp;AA224</f>
        <v>-</v>
      </c>
      <c r="Y225" s="33138"/>
      <c r="Z225" s="33130"/>
      <c r="AA225" s="33138"/>
      <c r="AB225" s="33130"/>
      <c r="AC225" s="33136"/>
      <c r="AD225" s="33136"/>
      <c r="AE225" s="33137" t="str">
        <f>AF224&amp;"-"&amp;AH224</f>
        <v>45292.4718287037-45473.47211805556</v>
      </c>
      <c r="AF225" s="33138"/>
      <c r="AG225" s="33130"/>
      <c r="AH225" s="33139"/>
      <c r="AI225" s="33130"/>
      <c r="AJ225" s="33136"/>
      <c r="AK225" s="33136"/>
      <c r="AL225" s="33137" t="str">
        <f>AM224&amp;"-"&amp;AO224</f>
        <v>45474.47253472222-45657.47267361111</v>
      </c>
      <c r="AM225" s="33138"/>
      <c r="AN225" s="33130"/>
      <c r="AO225" s="33138"/>
      <c r="AP225" s="33130"/>
      <c r="AQ225" s="33136"/>
      <c r="AR225" s="33136"/>
      <c r="AS225" s="33137" t="str">
        <f>AT224&amp;"-"&amp;AV224</f>
        <v>45658.47314814815-45838.47337962963</v>
      </c>
      <c r="AT225" s="33138"/>
      <c r="AU225" s="33130"/>
      <c r="AV225" s="33138"/>
      <c r="AW225" s="33130"/>
      <c r="AX225" s="33136"/>
      <c r="AY225" s="33136"/>
      <c r="AZ225" s="33137" t="str">
        <f>BA224&amp;"-"&amp;BC224</f>
        <v>45839.4740625-46022.47431712963</v>
      </c>
      <c r="BA225" s="33138"/>
      <c r="BB225" s="33130"/>
      <c r="BC225" s="33138"/>
      <c r="BD225" s="33130"/>
      <c r="BE225" s="33136"/>
      <c r="BF225" s="33136"/>
      <c r="BG225" s="33137" t="str">
        <f>BH224&amp;"-"&amp;BJ224</f>
        <v>46023.47457175926-46203.47505787037</v>
      </c>
      <c r="BH225" s="33138"/>
      <c r="BI225" s="33130"/>
      <c r="BJ225" s="33138"/>
      <c r="BK225" s="33130"/>
      <c r="BL225" s="33136"/>
      <c r="BM225" s="33136"/>
      <c r="BN225" s="33137" t="str">
        <f>BO224&amp;"-"&amp;BQ224</f>
        <v>46204.47608796296-46387.4762962963</v>
      </c>
      <c r="BO225" s="33138"/>
      <c r="BP225" s="33130"/>
      <c r="BQ225" s="33138"/>
      <c r="BR225" s="33130"/>
      <c r="BS225" s="33136"/>
      <c r="BT225" s="33136"/>
      <c r="BU225" s="33137" t="str">
        <f>BV224&amp;"-"&amp;BX224</f>
        <v>46388.47657407408-46568.47677083333</v>
      </c>
      <c r="BV225" s="33138"/>
      <c r="BW225" s="33130"/>
      <c r="BX225" s="33138"/>
      <c r="BY225" s="33130"/>
      <c r="BZ225" s="33136"/>
      <c r="CA225" s="33136"/>
      <c r="CB225" s="33137" t="str">
        <f>CC224&amp;"-"&amp;CE224</f>
        <v>46569.477314814816-46752.47767361111</v>
      </c>
      <c r="CC225" s="33138"/>
      <c r="CD225" s="33130"/>
      <c r="CE225" s="33138"/>
      <c r="CF225" s="33130"/>
      <c r="CG225" s="33136"/>
      <c r="CH225" s="33136"/>
      <c r="CI225" s="33137" t="str">
        <f>CJ224&amp;"-"&amp;CL224</f>
        <v>46753.47814814815-46934.478425925925</v>
      </c>
      <c r="CJ225" s="33138"/>
      <c r="CK225" s="33130"/>
      <c r="CL225" s="33138"/>
      <c r="CM225" s="33130"/>
      <c r="CN225" s="33136"/>
      <c r="CO225" s="33136"/>
      <c r="CP225" s="33137" t="str">
        <f>CQ224&amp;"-"&amp;CS224</f>
        <v>46935.47888888889-47118.4793287037</v>
      </c>
      <c r="CQ225" s="33138"/>
      <c r="CR225" s="33130"/>
      <c r="CS225" s="33138"/>
      <c r="CT225" s="33131"/>
      <c r="CU225" s="33140"/>
      <c r="CV225" s="33133"/>
      <c r="CW225" s="33123"/>
      <c r="CX225" s="33124"/>
      <c r="CY225" s="33124" t="str">
        <f>IF(T225="","",T225)</f>
        <v/>
      </c>
      <c r="CZ225" s="33124"/>
      <c r="DA225" s="33124"/>
      <c r="DB225" s="33125">
        <v>0</v>
      </c>
    </row>
    <row s="56839" customFormat="1" customHeight="1" ht="21">
      <c r="A226" s="33106"/>
      <c r="B226" s="33106"/>
      <c r="C226" s="33106"/>
      <c r="D226" s="33106"/>
      <c r="E226" s="33107"/>
      <c r="F226" s="33107"/>
      <c r="G226" s="33107"/>
      <c r="H226" s="33107"/>
      <c r="I226" s="33108"/>
      <c r="J226" s="33109" t="str">
        <f>I218&amp;".1"</f>
        <v>1.10.1.1.1</v>
      </c>
      <c r="K226" s="33106"/>
      <c r="L226" s="33110"/>
      <c r="M226" s="33111"/>
      <c r="N226" s="33111"/>
      <c r="O226" s="33111"/>
      <c r="P226" s="33112"/>
      <c r="Q226" s="33112"/>
      <c r="R226" s="33142"/>
      <c r="S226" s="35182"/>
      <c r="T226" s="35183" t="s">
        <v>622</v>
      </c>
      <c r="U226" s="35184"/>
      <c r="V226" s="35185"/>
      <c r="W226" s="35186"/>
      <c r="X226" s="35187"/>
      <c r="Y226" s="35188"/>
      <c r="Z226" s="35189"/>
      <c r="AA226" s="35190"/>
      <c r="AB226" s="35191"/>
      <c r="AC226" s="35192"/>
      <c r="AD226" s="35193"/>
      <c r="AE226" s="35194"/>
      <c r="AF226" s="35195"/>
      <c r="AG226" s="35196"/>
      <c r="AH226" s="35197"/>
      <c r="AI226" s="35198"/>
      <c r="AJ226" s="35199"/>
      <c r="AK226" s="35200"/>
      <c r="AL226" s="35201"/>
      <c r="AM226" s="35202"/>
      <c r="AN226" s="35203"/>
      <c r="AO226" s="35204"/>
      <c r="AP226" s="35205"/>
      <c r="AQ226" s="35206"/>
      <c r="AR226" s="35207"/>
      <c r="AS226" s="35208"/>
      <c r="AT226" s="35209"/>
      <c r="AU226" s="35210"/>
      <c r="AV226" s="35211"/>
      <c r="AW226" s="35212"/>
      <c r="AX226" s="35213"/>
      <c r="AY226" s="35214"/>
      <c r="AZ226" s="35215"/>
      <c r="BA226" s="35216"/>
      <c r="BB226" s="35217"/>
      <c r="BC226" s="35218"/>
      <c r="BD226" s="35219"/>
      <c r="BE226" s="35220"/>
      <c r="BF226" s="35221"/>
      <c r="BG226" s="35222"/>
      <c r="BH226" s="35223"/>
      <c r="BI226" s="35224"/>
      <c r="BJ226" s="35225"/>
      <c r="BK226" s="35226"/>
      <c r="BL226" s="35227"/>
      <c r="BM226" s="35228"/>
      <c r="BN226" s="35229"/>
      <c r="BO226" s="35230"/>
      <c r="BP226" s="35231"/>
      <c r="BQ226" s="35232"/>
      <c r="BR226" s="35233"/>
      <c r="BS226" s="35234"/>
      <c r="BT226" s="35235"/>
      <c r="BU226" s="35236"/>
      <c r="BV226" s="35237"/>
      <c r="BW226" s="35238"/>
      <c r="BX226" s="35239"/>
      <c r="BY226" s="35240"/>
      <c r="BZ226" s="35241"/>
      <c r="CA226" s="35242"/>
      <c r="CB226" s="35243"/>
      <c r="CC226" s="35244"/>
      <c r="CD226" s="35245"/>
      <c r="CE226" s="35246"/>
      <c r="CF226" s="35247"/>
      <c r="CG226" s="35248"/>
      <c r="CH226" s="35249"/>
      <c r="CI226" s="35250"/>
      <c r="CJ226" s="35251"/>
      <c r="CK226" s="35252"/>
      <c r="CL226" s="35253"/>
      <c r="CM226" s="35254"/>
      <c r="CN226" s="35255"/>
      <c r="CO226" s="35256"/>
      <c r="CP226" s="35257"/>
      <c r="CQ226" s="35258"/>
      <c r="CR226" s="35259"/>
      <c r="CS226" s="35260"/>
      <c r="CT226" s="35261"/>
      <c r="CU226" s="35262"/>
      <c r="CV226" s="33224" t="s">
        <v>623</v>
      </c>
      <c r="CW226" s="33123"/>
      <c r="CX226" s="33124"/>
      <c r="CY226" s="33124" t="str">
        <f>IF(T226="","",T226)</f>
        <v>Добавить значение признака дифференциации</v>
      </c>
      <c r="CZ226" s="33124"/>
      <c r="DA226" s="33124"/>
      <c r="DB226" s="33125">
        <v>0</v>
      </c>
    </row>
    <row s="56921" customFormat="1" customHeight="1" ht="21">
      <c r="A227" s="21621"/>
      <c r="B227" s="21621"/>
      <c r="C227" s="21621"/>
      <c r="D227" s="21621"/>
      <c r="E227" s="21622"/>
      <c r="F227" s="21622" t="s">
        <v>140</v>
      </c>
      <c r="G227" s="21622"/>
      <c r="H227" s="21622"/>
      <c r="I227" s="21638"/>
      <c r="J227" s="21621"/>
      <c r="K227" s="21621"/>
      <c r="L227" s="21624"/>
      <c r="M227" s="21639"/>
      <c r="N227" s="21639"/>
      <c r="O227" s="21639"/>
      <c r="P227" s="21640"/>
      <c r="Q227" s="21640"/>
      <c r="R227" s="21641"/>
      <c r="S227" s="25314"/>
      <c r="T227" s="25315" t="s">
        <v>551</v>
      </c>
      <c r="U227" s="25316"/>
      <c r="V227" s="25317"/>
      <c r="W227" s="25318"/>
      <c r="X227" s="25319"/>
      <c r="Y227" s="25320"/>
      <c r="Z227" s="25321"/>
      <c r="AA227" s="25322"/>
      <c r="AB227" s="25323"/>
      <c r="AC227" s="25324"/>
      <c r="AD227" s="25325"/>
      <c r="AE227" s="25326"/>
      <c r="AF227" s="25327"/>
      <c r="AG227" s="25328"/>
      <c r="AH227" s="25329"/>
      <c r="AI227" s="25330"/>
      <c r="AJ227" s="25331"/>
      <c r="AK227" s="25332"/>
      <c r="AL227" s="25333"/>
      <c r="AM227" s="25334"/>
      <c r="AN227" s="25335"/>
      <c r="AO227" s="25336"/>
      <c r="AP227" s="25337"/>
      <c r="AQ227" s="25338"/>
      <c r="AR227" s="25339"/>
      <c r="AS227" s="25340"/>
      <c r="AT227" s="25341"/>
      <c r="AU227" s="25342"/>
      <c r="AV227" s="25343"/>
      <c r="AW227" s="25344"/>
      <c r="AX227" s="25345"/>
      <c r="AY227" s="25346"/>
      <c r="AZ227" s="25347"/>
      <c r="BA227" s="25348"/>
      <c r="BB227" s="25349"/>
      <c r="BC227" s="25350"/>
      <c r="BD227" s="25351"/>
      <c r="BE227" s="25352"/>
      <c r="BF227" s="25353"/>
      <c r="BG227" s="25354"/>
      <c r="BH227" s="25355"/>
      <c r="BI227" s="25356"/>
      <c r="BJ227" s="25357"/>
      <c r="BK227" s="25358"/>
      <c r="BL227" s="25359"/>
      <c r="BM227" s="25360"/>
      <c r="BN227" s="25361"/>
      <c r="BO227" s="25362"/>
      <c r="BP227" s="25363"/>
      <c r="BQ227" s="25364"/>
      <c r="BR227" s="25365"/>
      <c r="BS227" s="25366"/>
      <c r="BT227" s="25367"/>
      <c r="BU227" s="25368"/>
      <c r="BV227" s="25369"/>
      <c r="BW227" s="25370"/>
      <c r="BX227" s="25371"/>
      <c r="BY227" s="25372"/>
      <c r="BZ227" s="25373"/>
      <c r="CA227" s="25374"/>
      <c r="CB227" s="25375"/>
      <c r="CC227" s="25376"/>
      <c r="CD227" s="25377"/>
      <c r="CE227" s="25378"/>
      <c r="CF227" s="25379"/>
      <c r="CG227" s="25380"/>
      <c r="CH227" s="25381"/>
      <c r="CI227" s="25382"/>
      <c r="CJ227" s="25383"/>
      <c r="CK227" s="25384"/>
      <c r="CL227" s="25385"/>
      <c r="CM227" s="25386"/>
      <c r="CN227" s="25387"/>
      <c r="CO227" s="25388"/>
      <c r="CP227" s="25389"/>
      <c r="CQ227" s="25390"/>
      <c r="CR227" s="25391"/>
      <c r="CS227" s="25392"/>
      <c r="CT227" s="25393"/>
      <c r="CU227" s="25394"/>
      <c r="CV227" s="25395"/>
      <c r="CW227" s="21281"/>
      <c r="CX227" s="21633"/>
      <c r="CY227" s="21633" t="str">
        <f>IF(T227="","",T227)</f>
        <v>Добавить группу потребителей</v>
      </c>
      <c r="CZ227" s="21633"/>
      <c r="DA227" s="21633"/>
      <c r="DB227" s="21020">
        <v>0</v>
      </c>
    </row>
    <row s="57004" customFormat="1" customHeight="1" ht="14.25">
      <c r="A228" s="21621"/>
      <c r="B228" s="21621"/>
      <c r="C228" s="21621"/>
      <c r="D228" s="21621"/>
      <c r="E228" s="21622"/>
      <c r="F228" s="21622" t="s">
        <v>140</v>
      </c>
      <c r="G228" s="21622"/>
      <c r="H228" s="21623"/>
      <c r="I228" s="21621"/>
      <c r="J228" s="21621"/>
      <c r="K228" s="21621"/>
      <c r="L228" s="21624"/>
      <c r="M228" s="21625"/>
      <c r="N228" s="21625"/>
      <c r="O228" s="21264"/>
      <c r="P228" s="21910"/>
      <c r="Q228" s="21911"/>
      <c r="R228" s="21912"/>
      <c r="S228" s="25397"/>
      <c r="T228" s="25398" t="s">
        <v>624</v>
      </c>
      <c r="U228" s="25399"/>
      <c r="V228" s="25400"/>
      <c r="W228" s="25401"/>
      <c r="X228" s="25402"/>
      <c r="Y228" s="25403"/>
      <c r="Z228" s="25404"/>
      <c r="AA228" s="25405"/>
      <c r="AB228" s="25406"/>
      <c r="AC228" s="25407"/>
      <c r="AD228" s="25408"/>
      <c r="AE228" s="25409"/>
      <c r="AF228" s="25410"/>
      <c r="AG228" s="25411"/>
      <c r="AH228" s="25412"/>
      <c r="AI228" s="25413"/>
      <c r="AJ228" s="25414"/>
      <c r="AK228" s="25415"/>
      <c r="AL228" s="25416"/>
      <c r="AM228" s="25417"/>
      <c r="AN228" s="25418"/>
      <c r="AO228" s="25419"/>
      <c r="AP228" s="25420"/>
      <c r="AQ228" s="25421"/>
      <c r="AR228" s="25422"/>
      <c r="AS228" s="25423"/>
      <c r="AT228" s="25424"/>
      <c r="AU228" s="25425"/>
      <c r="AV228" s="25426"/>
      <c r="AW228" s="25427"/>
      <c r="AX228" s="25428"/>
      <c r="AY228" s="25429"/>
      <c r="AZ228" s="25430"/>
      <c r="BA228" s="25431"/>
      <c r="BB228" s="25432"/>
      <c r="BC228" s="25433"/>
      <c r="BD228" s="25434"/>
      <c r="BE228" s="25435"/>
      <c r="BF228" s="25436"/>
      <c r="BG228" s="25437"/>
      <c r="BH228" s="25438"/>
      <c r="BI228" s="25439"/>
      <c r="BJ228" s="25440"/>
      <c r="BK228" s="25441"/>
      <c r="BL228" s="25442"/>
      <c r="BM228" s="25443"/>
      <c r="BN228" s="25444"/>
      <c r="BO228" s="25445"/>
      <c r="BP228" s="25446"/>
      <c r="BQ228" s="25447"/>
      <c r="BR228" s="25448"/>
      <c r="BS228" s="25449"/>
      <c r="BT228" s="25450"/>
      <c r="BU228" s="25451"/>
      <c r="BV228" s="25452"/>
      <c r="BW228" s="25453"/>
      <c r="BX228" s="25454"/>
      <c r="BY228" s="25455"/>
      <c r="BZ228" s="25456"/>
      <c r="CA228" s="25457"/>
      <c r="CB228" s="25458"/>
      <c r="CC228" s="25459"/>
      <c r="CD228" s="25460"/>
      <c r="CE228" s="25461"/>
      <c r="CF228" s="25462"/>
      <c r="CG228" s="25463"/>
      <c r="CH228" s="25464"/>
      <c r="CI228" s="25465"/>
      <c r="CJ228" s="25466"/>
      <c r="CK228" s="25467"/>
      <c r="CL228" s="25468"/>
      <c r="CM228" s="25469"/>
      <c r="CN228" s="25470"/>
      <c r="CO228" s="25471"/>
      <c r="CP228" s="25472"/>
      <c r="CQ228" s="25473"/>
      <c r="CR228" s="25474"/>
      <c r="CS228" s="25475"/>
      <c r="CT228" s="25476"/>
      <c r="CU228" s="25477"/>
      <c r="CV228" s="25478"/>
      <c r="CW228" s="21281"/>
      <c r="CX228" s="21633"/>
      <c r="CY228" s="21633" t="str">
        <f>IF(T228="","",T228)</f>
        <v>Добавить наименование признака дифференциации</v>
      </c>
      <c r="CZ228" s="21633"/>
      <c r="DA228" s="21633"/>
      <c r="DB228" s="21020">
        <v>0</v>
      </c>
    </row>
    <row s="57087" customFormat="1" customHeight="1" ht="14.25">
      <c r="A229" s="21996"/>
      <c r="B229" s="21996"/>
      <c r="C229" s="21996"/>
      <c r="D229" s="21996"/>
      <c r="E229" s="21622"/>
      <c r="F229" s="21623" t="s">
        <v>140</v>
      </c>
      <c r="G229" s="21996"/>
      <c r="H229" s="21996"/>
      <c r="I229" s="21996"/>
      <c r="J229" s="21996"/>
      <c r="K229" s="21996"/>
      <c r="L229" s="21997"/>
      <c r="M229" s="21998"/>
      <c r="N229" s="21998"/>
      <c r="O229" s="21281"/>
      <c r="P229" s="21999"/>
      <c r="Q229" s="22000"/>
      <c r="R229" s="21999"/>
      <c r="S229" s="22001"/>
      <c r="T229" s="22002" t="s">
        <v>290</v>
      </c>
      <c r="U229" s="21260"/>
      <c r="V229" s="21260"/>
      <c r="W229" s="21260"/>
      <c r="X229" s="21260"/>
      <c r="Y229" s="21260"/>
      <c r="Z229" s="21260"/>
      <c r="AA229" s="21260"/>
      <c r="AB229" s="21260"/>
      <c r="AC229" s="21260"/>
      <c r="AD229" s="21260"/>
      <c r="AE229" s="21260"/>
      <c r="AF229" s="21260"/>
      <c r="AG229" s="21260"/>
      <c r="AH229" s="21260"/>
      <c r="AI229" s="21260"/>
      <c r="AJ229" s="21260"/>
      <c r="AK229" s="21260"/>
      <c r="AL229" s="21260"/>
      <c r="AM229" s="21260"/>
      <c r="AN229" s="21260"/>
      <c r="AO229" s="21260"/>
      <c r="AP229" s="21260"/>
      <c r="AQ229" s="21260"/>
      <c r="AR229" s="21260"/>
      <c r="AS229" s="21260"/>
      <c r="AT229" s="21260"/>
      <c r="AU229" s="21260"/>
      <c r="AV229" s="21260"/>
      <c r="AW229" s="21260"/>
      <c r="AX229" s="21260"/>
      <c r="AY229" s="21260"/>
      <c r="AZ229" s="21260"/>
      <c r="BA229" s="21260"/>
      <c r="BB229" s="21260"/>
      <c r="BC229" s="21260"/>
      <c r="BD229" s="21260"/>
      <c r="BE229" s="21260"/>
      <c r="BF229" s="21260"/>
      <c r="BG229" s="21260"/>
      <c r="BH229" s="21260"/>
      <c r="BI229" s="21260"/>
      <c r="BJ229" s="21260"/>
      <c r="BK229" s="21260"/>
      <c r="BL229" s="21260"/>
      <c r="BM229" s="21260"/>
      <c r="BN229" s="21260"/>
      <c r="BO229" s="21260"/>
      <c r="BP229" s="21260"/>
      <c r="BQ229" s="21260"/>
      <c r="BR229" s="21260"/>
      <c r="BS229" s="21260"/>
      <c r="BT229" s="21260"/>
      <c r="BU229" s="21260"/>
      <c r="BV229" s="21260"/>
      <c r="BW229" s="21260"/>
      <c r="BX229" s="21260"/>
      <c r="BY229" s="21260"/>
      <c r="BZ229" s="21260"/>
      <c r="CA229" s="21260"/>
      <c r="CB229" s="21260"/>
      <c r="CC229" s="21260"/>
      <c r="CD229" s="21260"/>
      <c r="CE229" s="21260"/>
      <c r="CF229" s="21260"/>
      <c r="CG229" s="21260"/>
      <c r="CH229" s="21260"/>
      <c r="CI229" s="21260"/>
      <c r="CJ229" s="21260"/>
      <c r="CK229" s="21260"/>
      <c r="CL229" s="21260"/>
      <c r="CM229" s="21260"/>
      <c r="CN229" s="21260"/>
      <c r="CO229" s="21260"/>
      <c r="CP229" s="21260"/>
      <c r="CQ229" s="21260"/>
      <c r="CR229" s="21260"/>
      <c r="CS229" s="21260"/>
      <c r="CT229" s="21260"/>
      <c r="CU229" s="21260"/>
      <c r="CV229" s="21260"/>
      <c r="CW229" s="21281"/>
      <c r="CX229" s="21633"/>
      <c r="CY229" s="21633" t="str">
        <f>IF(T229="","",T229)</f>
        <v>Добавить централизованную систему для дифференциации</v>
      </c>
      <c r="CZ229" s="21633"/>
      <c r="DA229" s="21633"/>
      <c r="DB229" s="21281">
        <v>0</v>
      </c>
    </row>
    <row s="57088" customFormat="1" customHeight="1" ht="23.25">
      <c r="A230" s="21621"/>
      <c r="B230" s="21621" t="s">
        <v>340</v>
      </c>
      <c r="C230" s="21621"/>
      <c r="D230" s="21621"/>
      <c r="E230" s="21622"/>
      <c r="F230" s="21623" t="s">
        <v>151</v>
      </c>
      <c r="G230" s="21621"/>
      <c r="H230" s="21621"/>
      <c r="I230" s="21621"/>
      <c r="J230" s="21621"/>
      <c r="K230" s="21621"/>
      <c r="L230" s="21624"/>
      <c r="M230" s="21625"/>
      <c r="N230" s="21625"/>
      <c r="O230" s="21625"/>
      <c r="P230" s="21626"/>
      <c r="Q230" s="21627"/>
      <c r="R230" s="21628"/>
      <c r="S230" s="21629" t="str">
        <f>INDEX(PT_DIFFERENTIATION_NUM_TER,MATCH(B230,PT_DIFFERENTIATION_TER_ID,0))</f>
        <v>1.11</v>
      </c>
      <c r="T230" s="21630" t="s">
        <v>536</v>
      </c>
      <c r="U230" s="21631"/>
      <c r="V230" s="21025"/>
      <c r="W230" s="21026"/>
      <c r="X230" s="21026"/>
      <c r="Y230" s="21026"/>
      <c r="Z230" s="21026"/>
      <c r="AA230" s="21026"/>
      <c r="AB230" s="21027"/>
      <c r="AC230" s="21025" t="str">
        <f>INDEX(PT_DIFFERENTIATION_TER,MATCH(B230,PT_DIFFERENTIATION_TER_ID,0))</f>
        <v>Территория 11</v>
      </c>
      <c r="AD230" s="21026"/>
      <c r="AE230" s="21026"/>
      <c r="AF230" s="21026"/>
      <c r="AG230" s="21026"/>
      <c r="AH230" s="21026"/>
      <c r="AI230" s="21026"/>
      <c r="AJ230" s="21025"/>
      <c r="AK230" s="21026"/>
      <c r="AL230" s="21026"/>
      <c r="AM230" s="21026"/>
      <c r="AN230" s="21026"/>
      <c r="AO230" s="21026"/>
      <c r="AP230" s="21027"/>
      <c r="AQ230" s="21025"/>
      <c r="AR230" s="21026"/>
      <c r="AS230" s="21026"/>
      <c r="AT230" s="21026"/>
      <c r="AU230" s="21026"/>
      <c r="AV230" s="21026"/>
      <c r="AW230" s="21027"/>
      <c r="AX230" s="21025"/>
      <c r="AY230" s="21026"/>
      <c r="AZ230" s="21026"/>
      <c r="BA230" s="21026"/>
      <c r="BB230" s="21026"/>
      <c r="BC230" s="21026"/>
      <c r="BD230" s="21027"/>
      <c r="BE230" s="21025"/>
      <c r="BF230" s="21026"/>
      <c r="BG230" s="21026"/>
      <c r="BH230" s="21026"/>
      <c r="BI230" s="21026"/>
      <c r="BJ230" s="21026"/>
      <c r="BK230" s="21027"/>
      <c r="BL230" s="21025"/>
      <c r="BM230" s="21026"/>
      <c r="BN230" s="21026"/>
      <c r="BO230" s="21026"/>
      <c r="BP230" s="21026"/>
      <c r="BQ230" s="21026"/>
      <c r="BR230" s="21027"/>
      <c r="BS230" s="21025"/>
      <c r="BT230" s="21026"/>
      <c r="BU230" s="21026"/>
      <c r="BV230" s="21026"/>
      <c r="BW230" s="21026"/>
      <c r="BX230" s="21026"/>
      <c r="BY230" s="21027"/>
      <c r="BZ230" s="21025"/>
      <c r="CA230" s="21026"/>
      <c r="CB230" s="21026"/>
      <c r="CC230" s="21026"/>
      <c r="CD230" s="21026"/>
      <c r="CE230" s="21026"/>
      <c r="CF230" s="21027"/>
      <c r="CG230" s="21025"/>
      <c r="CH230" s="21026"/>
      <c r="CI230" s="21026"/>
      <c r="CJ230" s="21026"/>
      <c r="CK230" s="21026"/>
      <c r="CL230" s="21026"/>
      <c r="CM230" s="21027"/>
      <c r="CN230" s="21025"/>
      <c r="CO230" s="21026"/>
      <c r="CP230" s="21026"/>
      <c r="CQ230" s="21026"/>
      <c r="CR230" s="21026"/>
      <c r="CS230" s="21026"/>
      <c r="CT230" s="21027"/>
      <c r="CU230" s="21027"/>
      <c r="CV230" s="21632" t="s">
        <v>537</v>
      </c>
      <c r="CW230" s="21281"/>
      <c r="CX230" s="21633"/>
      <c r="CY230" s="21633" t="str">
        <f>IF(T230="","",T230)</f>
        <v>Территория действия тарифа</v>
      </c>
      <c r="CZ230" s="21633"/>
      <c r="DA230" s="21633"/>
      <c r="DB230" s="21020">
        <v>0</v>
      </c>
    </row>
    <row s="57089" customFormat="1" customHeight="1" ht="23.25">
      <c r="A231" s="21621"/>
      <c r="B231" s="21621"/>
      <c r="C231" s="21621" t="s">
        <v>341</v>
      </c>
      <c r="D231" s="21621"/>
      <c r="E231" s="21622"/>
      <c r="F231" s="21622" t="s">
        <v>145</v>
      </c>
      <c r="G231" s="21623">
        <v>1</v>
      </c>
      <c r="H231" s="21621"/>
      <c r="I231" s="21621"/>
      <c r="J231" s="21621"/>
      <c r="K231" s="21621"/>
      <c r="L231" s="21624"/>
      <c r="M231" s="21625"/>
      <c r="N231" s="21625"/>
      <c r="O231" s="21625"/>
      <c r="P231" s="21635"/>
      <c r="Q231" s="21627"/>
      <c r="R231" s="21628"/>
      <c r="S231" s="21629" t="str">
        <f>INDEX(PT_DIFFERENTIATION_NUM_CS,MATCH(C231,PT_DIFFERENTIATION_CS_ID,0))</f>
        <v>1.11.1</v>
      </c>
      <c r="T231" s="21636" t="s">
        <v>617</v>
      </c>
      <c r="U231" s="21631"/>
      <c r="V231" s="21025"/>
      <c r="W231" s="21026"/>
      <c r="X231" s="21026"/>
      <c r="Y231" s="21026"/>
      <c r="Z231" s="21026"/>
      <c r="AA231" s="21026"/>
      <c r="AB231" s="21027"/>
      <c r="AC231" s="21025" t="str">
        <f>INDEX(PT_DIFFERENTIATION_CS,MATCH(C231,PT_DIFFERENTIATION_CS_ID,0))</f>
        <v>с. Многоудобное</v>
      </c>
      <c r="AD231" s="21026"/>
      <c r="AE231" s="21026"/>
      <c r="AF231" s="21026"/>
      <c r="AG231" s="21026"/>
      <c r="AH231" s="21026"/>
      <c r="AI231" s="21026"/>
      <c r="AJ231" s="21025"/>
      <c r="AK231" s="21026"/>
      <c r="AL231" s="21026"/>
      <c r="AM231" s="21026"/>
      <c r="AN231" s="21026"/>
      <c r="AO231" s="21026"/>
      <c r="AP231" s="21027"/>
      <c r="AQ231" s="21025"/>
      <c r="AR231" s="21026"/>
      <c r="AS231" s="21026"/>
      <c r="AT231" s="21026"/>
      <c r="AU231" s="21026"/>
      <c r="AV231" s="21026"/>
      <c r="AW231" s="21027"/>
      <c r="AX231" s="21025"/>
      <c r="AY231" s="21026"/>
      <c r="AZ231" s="21026"/>
      <c r="BA231" s="21026"/>
      <c r="BB231" s="21026"/>
      <c r="BC231" s="21026"/>
      <c r="BD231" s="21027"/>
      <c r="BE231" s="21025"/>
      <c r="BF231" s="21026"/>
      <c r="BG231" s="21026"/>
      <c r="BH231" s="21026"/>
      <c r="BI231" s="21026"/>
      <c r="BJ231" s="21026"/>
      <c r="BK231" s="21027"/>
      <c r="BL231" s="21025"/>
      <c r="BM231" s="21026"/>
      <c r="BN231" s="21026"/>
      <c r="BO231" s="21026"/>
      <c r="BP231" s="21026"/>
      <c r="BQ231" s="21026"/>
      <c r="BR231" s="21027"/>
      <c r="BS231" s="21025"/>
      <c r="BT231" s="21026"/>
      <c r="BU231" s="21026"/>
      <c r="BV231" s="21026"/>
      <c r="BW231" s="21026"/>
      <c r="BX231" s="21026"/>
      <c r="BY231" s="21027"/>
      <c r="BZ231" s="21025"/>
      <c r="CA231" s="21026"/>
      <c r="CB231" s="21026"/>
      <c r="CC231" s="21026"/>
      <c r="CD231" s="21026"/>
      <c r="CE231" s="21026"/>
      <c r="CF231" s="21027"/>
      <c r="CG231" s="21025"/>
      <c r="CH231" s="21026"/>
      <c r="CI231" s="21026"/>
      <c r="CJ231" s="21026"/>
      <c r="CK231" s="21026"/>
      <c r="CL231" s="21026"/>
      <c r="CM231" s="21027"/>
      <c r="CN231" s="21025"/>
      <c r="CO231" s="21026"/>
      <c r="CP231" s="21026"/>
      <c r="CQ231" s="21026"/>
      <c r="CR231" s="21026"/>
      <c r="CS231" s="21026"/>
      <c r="CT231" s="21027"/>
      <c r="CU231" s="21027"/>
      <c r="CV231" s="21632" t="s">
        <v>618</v>
      </c>
      <c r="CW231" s="21281"/>
      <c r="CX231" s="21633"/>
      <c r="CY231" s="21633" t="str">
        <f>IF(T231="","",T231)</f>
        <v>Наименование централизованной системы холодного водоснабжения</v>
      </c>
      <c r="CZ231" s="21633"/>
      <c r="DA231" s="21633"/>
      <c r="DB231" s="21020">
        <v>0</v>
      </c>
    </row>
    <row s="57090" customFormat="1" customHeight="1" ht="23.25">
      <c r="A232" s="21621"/>
      <c r="B232" s="21621"/>
      <c r="C232" s="21621"/>
      <c r="D232" s="21621"/>
      <c r="E232" s="21622"/>
      <c r="F232" s="21622" t="s">
        <v>145</v>
      </c>
      <c r="G232" s="21622"/>
      <c r="H232" s="21622"/>
      <c r="I232" s="21638" t="str">
        <f>S231&amp;".1"</f>
        <v>1.11.1.1</v>
      </c>
      <c r="J232" s="21621"/>
      <c r="K232" s="21621"/>
      <c r="L232" s="21624"/>
      <c r="M232" s="21639"/>
      <c r="N232" s="21639"/>
      <c r="O232" s="21639"/>
      <c r="P232" s="21640">
        <v>1</v>
      </c>
      <c r="Q232" s="21640"/>
      <c r="R232" s="21641"/>
      <c r="S232" s="21629" t="str">
        <f>$I232</f>
        <v>1.11.1.1</v>
      </c>
      <c r="T232" s="21642" t="s">
        <v>619</v>
      </c>
      <c r="U232" s="21631"/>
      <c r="V232" s="21038"/>
      <c r="W232" s="21039"/>
      <c r="X232" s="21039"/>
      <c r="Y232" s="21039"/>
      <c r="Z232" s="21039"/>
      <c r="AA232" s="21039"/>
      <c r="AB232" s="21040"/>
      <c r="AC232" s="21643"/>
      <c r="AD232" s="21644"/>
      <c r="AE232" s="21644"/>
      <c r="AF232" s="21644"/>
      <c r="AG232" s="21644"/>
      <c r="AH232" s="21644"/>
      <c r="AI232" s="21644"/>
      <c r="AJ232" s="21038"/>
      <c r="AK232" s="21039"/>
      <c r="AL232" s="21039"/>
      <c r="AM232" s="21039"/>
      <c r="AN232" s="21039"/>
      <c r="AO232" s="21039"/>
      <c r="AP232" s="21040"/>
      <c r="AQ232" s="21038"/>
      <c r="AR232" s="21039"/>
      <c r="AS232" s="21039"/>
      <c r="AT232" s="21039"/>
      <c r="AU232" s="21039"/>
      <c r="AV232" s="21039"/>
      <c r="AW232" s="21040"/>
      <c r="AX232" s="21038"/>
      <c r="AY232" s="21039"/>
      <c r="AZ232" s="21039"/>
      <c r="BA232" s="21039"/>
      <c r="BB232" s="21039"/>
      <c r="BC232" s="21039"/>
      <c r="BD232" s="21040"/>
      <c r="BE232" s="21038"/>
      <c r="BF232" s="21039"/>
      <c r="BG232" s="21039"/>
      <c r="BH232" s="21039"/>
      <c r="BI232" s="21039"/>
      <c r="BJ232" s="21039"/>
      <c r="BK232" s="21040"/>
      <c r="BL232" s="21038"/>
      <c r="BM232" s="21039"/>
      <c r="BN232" s="21039"/>
      <c r="BO232" s="21039"/>
      <c r="BP232" s="21039"/>
      <c r="BQ232" s="21039"/>
      <c r="BR232" s="21040"/>
      <c r="BS232" s="21038"/>
      <c r="BT232" s="21039"/>
      <c r="BU232" s="21039"/>
      <c r="BV232" s="21039"/>
      <c r="BW232" s="21039"/>
      <c r="BX232" s="21039"/>
      <c r="BY232" s="21040"/>
      <c r="BZ232" s="21038"/>
      <c r="CA232" s="21039"/>
      <c r="CB232" s="21039"/>
      <c r="CC232" s="21039"/>
      <c r="CD232" s="21039"/>
      <c r="CE232" s="21039"/>
      <c r="CF232" s="21040"/>
      <c r="CG232" s="21038"/>
      <c r="CH232" s="21039"/>
      <c r="CI232" s="21039"/>
      <c r="CJ232" s="21039"/>
      <c r="CK232" s="21039"/>
      <c r="CL232" s="21039"/>
      <c r="CM232" s="21040"/>
      <c r="CN232" s="21038"/>
      <c r="CO232" s="21039"/>
      <c r="CP232" s="21039"/>
      <c r="CQ232" s="21039"/>
      <c r="CR232" s="21039"/>
      <c r="CS232" s="21039"/>
      <c r="CT232" s="21040"/>
      <c r="CU232" s="21645"/>
      <c r="CV232" s="21632" t="s">
        <v>620</v>
      </c>
      <c r="CW232" s="21281"/>
      <c r="CX232" s="21633"/>
      <c r="CY232" s="21633" t="str">
        <f>IF(T232="","",T232)</f>
        <v>Наименование признака дифференциации</v>
      </c>
      <c r="CZ232" s="21633"/>
      <c r="DA232" s="21633"/>
      <c r="DB232" s="21020">
        <v>0</v>
      </c>
    </row>
    <row s="57091" customFormat="1" customHeight="1" ht="23.25">
      <c r="A233" s="21621"/>
      <c r="B233" s="21621"/>
      <c r="C233" s="21621"/>
      <c r="D233" s="21621"/>
      <c r="E233" s="21622"/>
      <c r="F233" s="21622" t="s">
        <v>145</v>
      </c>
      <c r="G233" s="21622"/>
      <c r="H233" s="21622"/>
      <c r="I233" s="21647"/>
      <c r="J233" s="21638" t="str">
        <f>I232&amp;".1"</f>
        <v>1.11.1.1.1</v>
      </c>
      <c r="K233" s="21621"/>
      <c r="L233" s="21624" t="s">
        <v>545</v>
      </c>
      <c r="M233" s="21639"/>
      <c r="N233" s="21639"/>
      <c r="O233" s="21639"/>
      <c r="P233" s="21640"/>
      <c r="Q233" s="21640">
        <v>1</v>
      </c>
      <c r="R233" s="21648"/>
      <c r="S233" s="21629" t="str">
        <f>$J233</f>
        <v>1.11.1.1.1</v>
      </c>
      <c r="T233" s="21649" t="s">
        <v>546</v>
      </c>
      <c r="U233" s="21631"/>
      <c r="V233" s="21045"/>
      <c r="W233" s="21046"/>
      <c r="X233" s="21046"/>
      <c r="Y233" s="21046"/>
      <c r="Z233" s="21046"/>
      <c r="AA233" s="21046"/>
      <c r="AB233" s="21047"/>
      <c r="AC233" s="21045" t="s">
        <v>632</v>
      </c>
      <c r="AD233" s="21046"/>
      <c r="AE233" s="21046"/>
      <c r="AF233" s="21046"/>
      <c r="AG233" s="21046"/>
      <c r="AH233" s="21046"/>
      <c r="AI233" s="21046"/>
      <c r="AJ233" s="21045"/>
      <c r="AK233" s="21046"/>
      <c r="AL233" s="21046"/>
      <c r="AM233" s="21046"/>
      <c r="AN233" s="21046"/>
      <c r="AO233" s="21046"/>
      <c r="AP233" s="21047"/>
      <c r="AQ233" s="21045"/>
      <c r="AR233" s="21046"/>
      <c r="AS233" s="21046"/>
      <c r="AT233" s="21046"/>
      <c r="AU233" s="21046"/>
      <c r="AV233" s="21046"/>
      <c r="AW233" s="21047"/>
      <c r="AX233" s="21045"/>
      <c r="AY233" s="21046"/>
      <c r="AZ233" s="21046"/>
      <c r="BA233" s="21046"/>
      <c r="BB233" s="21046"/>
      <c r="BC233" s="21046"/>
      <c r="BD233" s="21047"/>
      <c r="BE233" s="21045"/>
      <c r="BF233" s="21046"/>
      <c r="BG233" s="21046"/>
      <c r="BH233" s="21046"/>
      <c r="BI233" s="21046"/>
      <c r="BJ233" s="21046"/>
      <c r="BK233" s="21047"/>
      <c r="BL233" s="21045"/>
      <c r="BM233" s="21046"/>
      <c r="BN233" s="21046"/>
      <c r="BO233" s="21046"/>
      <c r="BP233" s="21046"/>
      <c r="BQ233" s="21046"/>
      <c r="BR233" s="21047"/>
      <c r="BS233" s="21045"/>
      <c r="BT233" s="21046"/>
      <c r="BU233" s="21046"/>
      <c r="BV233" s="21046"/>
      <c r="BW233" s="21046"/>
      <c r="BX233" s="21046"/>
      <c r="BY233" s="21047"/>
      <c r="BZ233" s="21045"/>
      <c r="CA233" s="21046"/>
      <c r="CB233" s="21046"/>
      <c r="CC233" s="21046"/>
      <c r="CD233" s="21046"/>
      <c r="CE233" s="21046"/>
      <c r="CF233" s="21047"/>
      <c r="CG233" s="21045"/>
      <c r="CH233" s="21046"/>
      <c r="CI233" s="21046"/>
      <c r="CJ233" s="21046"/>
      <c r="CK233" s="21046"/>
      <c r="CL233" s="21046"/>
      <c r="CM233" s="21047"/>
      <c r="CN233" s="21045"/>
      <c r="CO233" s="21046"/>
      <c r="CP233" s="21046"/>
      <c r="CQ233" s="21046"/>
      <c r="CR233" s="21046"/>
      <c r="CS233" s="21046"/>
      <c r="CT233" s="21047"/>
      <c r="CU233" s="21047"/>
      <c r="CV233" s="21650" t="s">
        <v>621</v>
      </c>
      <c r="CW233" s="21281"/>
      <c r="CX233" s="21633"/>
      <c r="CY233" s="21633" t="str">
        <f>IF(T233="","",T233)</f>
        <v>Группа потребителей</v>
      </c>
      <c r="CZ233" s="21633"/>
      <c r="DA233" s="21633"/>
      <c r="DB233" s="21020">
        <v>0</v>
      </c>
    </row>
    <row s="57092" customFormat="1" customHeight="1" ht="23.25">
      <c r="A234" s="21621"/>
      <c r="B234" s="21621"/>
      <c r="C234" s="21621"/>
      <c r="D234" s="21621"/>
      <c r="E234" s="21622"/>
      <c r="F234" s="21622" t="s">
        <v>145</v>
      </c>
      <c r="G234" s="21622"/>
      <c r="H234" s="21622"/>
      <c r="I234" s="21647"/>
      <c r="J234" s="21647"/>
      <c r="K234" s="21638" t="str">
        <f>J233&amp;".1"</f>
        <v>1.11.1.1.1.1</v>
      </c>
      <c r="L234" s="21624"/>
      <c r="M234" s="21639"/>
      <c r="N234" s="21639"/>
      <c r="O234" s="21639"/>
      <c r="P234" s="21640"/>
      <c r="Q234" s="21640"/>
      <c r="R234" s="21648">
        <v>1</v>
      </c>
      <c r="S234" s="21629" t="str">
        <f>$K234</f>
        <v>1.11.1.1.1.1</v>
      </c>
      <c r="T234" s="21652"/>
      <c r="U234" s="21631"/>
      <c r="V234" s="21053"/>
      <c r="W234" s="21053"/>
      <c r="X234" s="21054"/>
      <c r="Y234" s="21055"/>
      <c r="Z234" s="21056" t="s">
        <v>63</v>
      </c>
      <c r="AA234" s="21055"/>
      <c r="AB234" s="21056" t="s">
        <v>63</v>
      </c>
      <c r="AC234" s="21053">
        <v>48.22</v>
      </c>
      <c r="AD234" s="21053"/>
      <c r="AE234" s="21054"/>
      <c r="AF234" s="57093">
        <v>45292.594513888886</v>
      </c>
      <c r="AG234" s="21056" t="s">
        <v>63</v>
      </c>
      <c r="AH234" s="57094">
        <v>45473.594675925924</v>
      </c>
      <c r="AI234" s="21056" t="s">
        <v>63</v>
      </c>
      <c r="AJ234" s="21053">
        <v>59.8</v>
      </c>
      <c r="AK234" s="21053"/>
      <c r="AL234" s="21054"/>
      <c r="AM234" s="57093">
        <v>45474.59396990741</v>
      </c>
      <c r="AN234" s="21056" t="s">
        <v>63</v>
      </c>
      <c r="AO234" s="57093">
        <v>45657.59371527778</v>
      </c>
      <c r="AP234" s="21056" t="s">
        <v>63</v>
      </c>
      <c r="AQ234" s="21053">
        <v>59.8</v>
      </c>
      <c r="AR234" s="21053"/>
      <c r="AS234" s="21054"/>
      <c r="AT234" s="57093">
        <v>45658.59355324074</v>
      </c>
      <c r="AU234" s="21056" t="s">
        <v>63</v>
      </c>
      <c r="AV234" s="57093">
        <v>45838.593194444446</v>
      </c>
      <c r="AW234" s="21056" t="s">
        <v>63</v>
      </c>
      <c r="AX234" s="21053">
        <v>65.77</v>
      </c>
      <c r="AY234" s="21053"/>
      <c r="AZ234" s="21054"/>
      <c r="BA234" s="57093">
        <v>45839.59300925926</v>
      </c>
      <c r="BB234" s="21056" t="s">
        <v>63</v>
      </c>
      <c r="BC234" s="57093">
        <v>46022.59280092592</v>
      </c>
      <c r="BD234" s="21056" t="s">
        <v>63</v>
      </c>
      <c r="BE234" s="21053">
        <v>65.77</v>
      </c>
      <c r="BF234" s="21053"/>
      <c r="BG234" s="21054"/>
      <c r="BH234" s="57093">
        <v>46023.59253472222</v>
      </c>
      <c r="BI234" s="21056" t="s">
        <v>63</v>
      </c>
      <c r="BJ234" s="57093">
        <v>46203.59212962963</v>
      </c>
      <c r="BK234" s="21056" t="s">
        <v>63</v>
      </c>
      <c r="BL234" s="21053">
        <v>68.4</v>
      </c>
      <c r="BM234" s="21053"/>
      <c r="BN234" s="21054"/>
      <c r="BO234" s="57093">
        <v>46204.5916087963</v>
      </c>
      <c r="BP234" s="21056" t="s">
        <v>63</v>
      </c>
      <c r="BQ234" s="57093">
        <v>46387.59134259259</v>
      </c>
      <c r="BR234" s="21056" t="s">
        <v>63</v>
      </c>
      <c r="BS234" s="21053">
        <v>68.4</v>
      </c>
      <c r="BT234" s="21053"/>
      <c r="BU234" s="21054"/>
      <c r="BV234" s="57093">
        <v>46388.59097222222</v>
      </c>
      <c r="BW234" s="21056" t="s">
        <v>63</v>
      </c>
      <c r="BX234" s="57093">
        <v>46568.59075231481</v>
      </c>
      <c r="BY234" s="21056" t="s">
        <v>63</v>
      </c>
      <c r="BZ234" s="21053">
        <v>71.14</v>
      </c>
      <c r="CA234" s="21053"/>
      <c r="CB234" s="21054"/>
      <c r="CC234" s="57093">
        <v>46569.590474537035</v>
      </c>
      <c r="CD234" s="21056" t="s">
        <v>63</v>
      </c>
      <c r="CE234" s="57093">
        <v>46752.590266203704</v>
      </c>
      <c r="CF234" s="21056" t="s">
        <v>63</v>
      </c>
      <c r="CG234" s="21053">
        <v>71.14</v>
      </c>
      <c r="CH234" s="21053"/>
      <c r="CI234" s="21054"/>
      <c r="CJ234" s="57093">
        <v>46753.59002314815</v>
      </c>
      <c r="CK234" s="21056" t="s">
        <v>63</v>
      </c>
      <c r="CL234" s="57093">
        <v>46934.58962962963</v>
      </c>
      <c r="CM234" s="21056" t="s">
        <v>63</v>
      </c>
      <c r="CN234" s="21053">
        <v>71.89</v>
      </c>
      <c r="CO234" s="21053"/>
      <c r="CP234" s="21054"/>
      <c r="CQ234" s="57093">
        <v>46935.58936342593</v>
      </c>
      <c r="CR234" s="21056" t="s">
        <v>63</v>
      </c>
      <c r="CS234" s="57093">
        <v>47118.58914351852</v>
      </c>
      <c r="CT234" s="21056" t="s">
        <v>63</v>
      </c>
      <c r="CU234" s="21653"/>
      <c r="CV23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4" s="21281">
        <f>STRCHECKDATE(V235:CU235)</f>
      </c>
      <c r="CX234" s="21633"/>
      <c r="CY234" s="21633" t="str">
        <f>IF(T234="","",T234)</f>
        <v/>
      </c>
      <c r="CZ234" s="21633"/>
      <c r="DA234" s="21633"/>
      <c r="DB234" s="21020">
        <v>0</v>
      </c>
    </row>
    <row s="57095" customFormat="1" customHeight="1" ht="14.25">
      <c r="A235" s="21621"/>
      <c r="B235" s="21621"/>
      <c r="C235" s="21621"/>
      <c r="D235" s="21621"/>
      <c r="E235" s="21622"/>
      <c r="F235" s="21622" t="s">
        <v>145</v>
      </c>
      <c r="G235" s="21622"/>
      <c r="H235" s="21622"/>
      <c r="I235" s="21647"/>
      <c r="J235" s="21647"/>
      <c r="K235" s="21638"/>
      <c r="L235" s="21624"/>
      <c r="M235" s="21639"/>
      <c r="N235" s="21639"/>
      <c r="O235" s="21639"/>
      <c r="P235" s="21640"/>
      <c r="Q235" s="21640"/>
      <c r="R235" s="21648"/>
      <c r="S235" s="21656"/>
      <c r="T235" s="21631"/>
      <c r="U235" s="21631"/>
      <c r="V235" s="21063"/>
      <c r="W235" s="21063"/>
      <c r="X235" s="21064" t="str">
        <f>Y234&amp;"-"&amp;AA234</f>
        <v>-</v>
      </c>
      <c r="Y235" s="21065"/>
      <c r="Z235" s="21056"/>
      <c r="AA235" s="21065"/>
      <c r="AB235" s="21056"/>
      <c r="AC235" s="21063"/>
      <c r="AD235" s="21063"/>
      <c r="AE235" s="21064" t="str">
        <f>AF234&amp;"-"&amp;AH234</f>
        <v>45292.594513888886-45473.594675925924</v>
      </c>
      <c r="AF235" s="21065"/>
      <c r="AG235" s="21056"/>
      <c r="AH235" s="21324"/>
      <c r="AI235" s="21056"/>
      <c r="AJ235" s="21063"/>
      <c r="AK235" s="21063"/>
      <c r="AL235" s="21064" t="str">
        <f>AM234&amp;"-"&amp;AO234</f>
        <v>45474.59396990741-45657.59371527778</v>
      </c>
      <c r="AM235" s="21065"/>
      <c r="AN235" s="21056"/>
      <c r="AO235" s="21065"/>
      <c r="AP235" s="21056"/>
      <c r="AQ235" s="21063"/>
      <c r="AR235" s="21063"/>
      <c r="AS235" s="21064" t="str">
        <f>AT234&amp;"-"&amp;AV234</f>
        <v>45658.59355324074-45838.593194444446</v>
      </c>
      <c r="AT235" s="21065"/>
      <c r="AU235" s="21056"/>
      <c r="AV235" s="21065"/>
      <c r="AW235" s="21056"/>
      <c r="AX235" s="21063"/>
      <c r="AY235" s="21063"/>
      <c r="AZ235" s="21064" t="str">
        <f>BA234&amp;"-"&amp;BC234</f>
        <v>45839.59300925926-46022.59280092592</v>
      </c>
      <c r="BA235" s="21065"/>
      <c r="BB235" s="21056"/>
      <c r="BC235" s="21065"/>
      <c r="BD235" s="21056"/>
      <c r="BE235" s="21063"/>
      <c r="BF235" s="21063"/>
      <c r="BG235" s="21064" t="str">
        <f>BH234&amp;"-"&amp;BJ234</f>
        <v>46023.59253472222-46203.59212962963</v>
      </c>
      <c r="BH235" s="21065"/>
      <c r="BI235" s="21056"/>
      <c r="BJ235" s="21065"/>
      <c r="BK235" s="21056"/>
      <c r="BL235" s="21063"/>
      <c r="BM235" s="21063"/>
      <c r="BN235" s="21064" t="str">
        <f>BO234&amp;"-"&amp;BQ234</f>
        <v>46204.5916087963-46387.59134259259</v>
      </c>
      <c r="BO235" s="21065"/>
      <c r="BP235" s="21056"/>
      <c r="BQ235" s="21065"/>
      <c r="BR235" s="21056"/>
      <c r="BS235" s="21063"/>
      <c r="BT235" s="21063"/>
      <c r="BU235" s="21064" t="str">
        <f>BV234&amp;"-"&amp;BX234</f>
        <v>46388.59097222222-46568.59075231481</v>
      </c>
      <c r="BV235" s="21065"/>
      <c r="BW235" s="21056"/>
      <c r="BX235" s="21065"/>
      <c r="BY235" s="21056"/>
      <c r="BZ235" s="21063"/>
      <c r="CA235" s="21063"/>
      <c r="CB235" s="21064" t="str">
        <f>CC234&amp;"-"&amp;CE234</f>
        <v>46569.590474537035-46752.590266203704</v>
      </c>
      <c r="CC235" s="21065"/>
      <c r="CD235" s="21056"/>
      <c r="CE235" s="21065"/>
      <c r="CF235" s="21056"/>
      <c r="CG235" s="21063"/>
      <c r="CH235" s="21063"/>
      <c r="CI235" s="21064" t="str">
        <f>CJ234&amp;"-"&amp;CL234</f>
        <v>46753.59002314815-46934.58962962963</v>
      </c>
      <c r="CJ235" s="21065"/>
      <c r="CK235" s="21056"/>
      <c r="CL235" s="21065"/>
      <c r="CM235" s="21056"/>
      <c r="CN235" s="21063"/>
      <c r="CO235" s="21063"/>
      <c r="CP235" s="21064" t="str">
        <f>CQ234&amp;"-"&amp;CS234</f>
        <v>46935.58936342593-47118.58914351852</v>
      </c>
      <c r="CQ235" s="21065"/>
      <c r="CR235" s="21056"/>
      <c r="CS235" s="21065"/>
      <c r="CT235" s="21056"/>
      <c r="CU235" s="21657"/>
      <c r="CV235" s="21654"/>
      <c r="CW235" s="21281"/>
      <c r="CX235" s="21633"/>
      <c r="CY235" s="21633" t="str">
        <f>IF(T235="","",T235)</f>
        <v/>
      </c>
      <c r="CZ235" s="21633"/>
      <c r="DA235" s="21633"/>
      <c r="DB235" s="21020">
        <v>0</v>
      </c>
    </row>
    <row s="57096" customFormat="1" customHeight="1" ht="21">
      <c r="A236" s="21621"/>
      <c r="B236" s="21621"/>
      <c r="C236" s="21621"/>
      <c r="D236" s="21621"/>
      <c r="E236" s="21622"/>
      <c r="F236" s="21622" t="s">
        <v>145</v>
      </c>
      <c r="G236" s="21622"/>
      <c r="H236" s="21622"/>
      <c r="I236" s="21647"/>
      <c r="J236" s="21638"/>
      <c r="K236" s="21621"/>
      <c r="L236" s="21624"/>
      <c r="M236" s="21639"/>
      <c r="N236" s="21639"/>
      <c r="O236" s="21639"/>
      <c r="P236" s="21640"/>
      <c r="Q236" s="21640"/>
      <c r="R236" s="21641"/>
      <c r="S236" s="25487"/>
      <c r="T236" s="25488" t="s">
        <v>622</v>
      </c>
      <c r="U236" s="25489"/>
      <c r="V236" s="25490"/>
      <c r="W236" s="25491"/>
      <c r="X236" s="25492"/>
      <c r="Y236" s="25493"/>
      <c r="Z236" s="25494"/>
      <c r="AA236" s="25495"/>
      <c r="AB236" s="25496"/>
      <c r="AC236" s="25497"/>
      <c r="AD236" s="25498"/>
      <c r="AE236" s="25499"/>
      <c r="AF236" s="25500"/>
      <c r="AG236" s="25501"/>
      <c r="AH236" s="25502"/>
      <c r="AI236" s="25503"/>
      <c r="AJ236" s="25504"/>
      <c r="AK236" s="25505"/>
      <c r="AL236" s="25506"/>
      <c r="AM236" s="25507"/>
      <c r="AN236" s="25508"/>
      <c r="AO236" s="25509"/>
      <c r="AP236" s="25510"/>
      <c r="AQ236" s="25511"/>
      <c r="AR236" s="25512"/>
      <c r="AS236" s="25513"/>
      <c r="AT236" s="25514"/>
      <c r="AU236" s="25515"/>
      <c r="AV236" s="25516"/>
      <c r="AW236" s="25517"/>
      <c r="AX236" s="25518"/>
      <c r="AY236" s="25519"/>
      <c r="AZ236" s="25520"/>
      <c r="BA236" s="25521"/>
      <c r="BB236" s="25522"/>
      <c r="BC236" s="25523"/>
      <c r="BD236" s="25524"/>
      <c r="BE236" s="25525"/>
      <c r="BF236" s="25526"/>
      <c r="BG236" s="25527"/>
      <c r="BH236" s="25528"/>
      <c r="BI236" s="25529"/>
      <c r="BJ236" s="25530"/>
      <c r="BK236" s="25531"/>
      <c r="BL236" s="25532"/>
      <c r="BM236" s="25533"/>
      <c r="BN236" s="25534"/>
      <c r="BO236" s="25535"/>
      <c r="BP236" s="25536"/>
      <c r="BQ236" s="25537"/>
      <c r="BR236" s="25538"/>
      <c r="BS236" s="25539"/>
      <c r="BT236" s="25540"/>
      <c r="BU236" s="25541"/>
      <c r="BV236" s="25542"/>
      <c r="BW236" s="25543"/>
      <c r="BX236" s="25544"/>
      <c r="BY236" s="25545"/>
      <c r="BZ236" s="25546"/>
      <c r="CA236" s="25547"/>
      <c r="CB236" s="25548"/>
      <c r="CC236" s="25549"/>
      <c r="CD236" s="25550"/>
      <c r="CE236" s="25551"/>
      <c r="CF236" s="25552"/>
      <c r="CG236" s="25553"/>
      <c r="CH236" s="25554"/>
      <c r="CI236" s="25555"/>
      <c r="CJ236" s="25556"/>
      <c r="CK236" s="25557"/>
      <c r="CL236" s="25558"/>
      <c r="CM236" s="25559"/>
      <c r="CN236" s="25560"/>
      <c r="CO236" s="25561"/>
      <c r="CP236" s="25562"/>
      <c r="CQ236" s="25563"/>
      <c r="CR236" s="25564"/>
      <c r="CS236" s="25565"/>
      <c r="CT236" s="25566"/>
      <c r="CU236" s="25567"/>
      <c r="CV236" s="21632" t="s">
        <v>623</v>
      </c>
      <c r="CW236" s="21281"/>
      <c r="CX236" s="21633"/>
      <c r="CY236" s="21633" t="str">
        <f>IF(T236="","",T236)</f>
        <v>Добавить значение признака дифференциации</v>
      </c>
      <c r="CZ236" s="21633"/>
      <c r="DA236" s="21633"/>
      <c r="DB236" s="21020">
        <v>0</v>
      </c>
    </row>
    <row s="57178" customFormat="1" customHeight="1" ht="23.25">
      <c r="A237" s="33106"/>
      <c r="B237" s="33106"/>
      <c r="C237" s="33106"/>
      <c r="D237" s="33106"/>
      <c r="E237" s="33107"/>
      <c r="F237" s="33107"/>
      <c r="G237" s="33107"/>
      <c r="H237" s="33107"/>
      <c r="I237" s="33108"/>
      <c r="J237" s="33109" t="str">
        <f>I232&amp;".2"</f>
        <v>1.11.1.1.2</v>
      </c>
      <c r="K237" s="33106"/>
      <c r="L237" s="33110" t="s">
        <v>545</v>
      </c>
      <c r="M237" s="33111"/>
      <c r="N237" s="33111"/>
      <c r="O237" s="33111"/>
      <c r="P237" s="33112"/>
      <c r="Q237" s="33113" t="s">
        <v>106</v>
      </c>
      <c r="R237" s="33114"/>
      <c r="S237" s="33115" t="str">
        <f>$J237</f>
        <v>1.11.1.1.2</v>
      </c>
      <c r="T237" s="33116" t="s">
        <v>546</v>
      </c>
      <c r="U237" s="33117"/>
      <c r="V237" s="33118"/>
      <c r="W237" s="33119"/>
      <c r="X237" s="33119"/>
      <c r="Y237" s="33119"/>
      <c r="Z237" s="33119"/>
      <c r="AA237" s="33119"/>
      <c r="AB237" s="33120"/>
      <c r="AC237" s="33118" t="s">
        <v>633</v>
      </c>
      <c r="AD237" s="33119"/>
      <c r="AE237" s="33119"/>
      <c r="AF237" s="33119"/>
      <c r="AG237" s="33119"/>
      <c r="AH237" s="33119"/>
      <c r="AI237" s="33119"/>
      <c r="AJ237" s="33118"/>
      <c r="AK237" s="33119"/>
      <c r="AL237" s="33119"/>
      <c r="AM237" s="33119"/>
      <c r="AN237" s="33119"/>
      <c r="AO237" s="33119"/>
      <c r="AP237" s="33120"/>
      <c r="AQ237" s="33118"/>
      <c r="AR237" s="33119"/>
      <c r="AS237" s="33119"/>
      <c r="AT237" s="33119"/>
      <c r="AU237" s="33119"/>
      <c r="AV237" s="33119"/>
      <c r="AW237" s="33120"/>
      <c r="AX237" s="33118"/>
      <c r="AY237" s="33119"/>
      <c r="AZ237" s="33119"/>
      <c r="BA237" s="33119"/>
      <c r="BB237" s="33119"/>
      <c r="BC237" s="33119"/>
      <c r="BD237" s="33120"/>
      <c r="BE237" s="33118"/>
      <c r="BF237" s="33119"/>
      <c r="BG237" s="33119"/>
      <c r="BH237" s="33119"/>
      <c r="BI237" s="33119"/>
      <c r="BJ237" s="33119"/>
      <c r="BK237" s="33120"/>
      <c r="BL237" s="33118"/>
      <c r="BM237" s="33119"/>
      <c r="BN237" s="33119"/>
      <c r="BO237" s="33119"/>
      <c r="BP237" s="33119"/>
      <c r="BQ237" s="33119"/>
      <c r="BR237" s="33120"/>
      <c r="BS237" s="33118"/>
      <c r="BT237" s="33119"/>
      <c r="BU237" s="33119"/>
      <c r="BV237" s="33119"/>
      <c r="BW237" s="33119"/>
      <c r="BX237" s="33119"/>
      <c r="BY237" s="33120"/>
      <c r="BZ237" s="33118"/>
      <c r="CA237" s="33119"/>
      <c r="CB237" s="33119"/>
      <c r="CC237" s="33119"/>
      <c r="CD237" s="33119"/>
      <c r="CE237" s="33119"/>
      <c r="CF237" s="33120"/>
      <c r="CG237" s="33118"/>
      <c r="CH237" s="33119"/>
      <c r="CI237" s="33119"/>
      <c r="CJ237" s="33119"/>
      <c r="CK237" s="33119"/>
      <c r="CL237" s="33119"/>
      <c r="CM237" s="33120"/>
      <c r="CN237" s="33118"/>
      <c r="CO237" s="33119"/>
      <c r="CP237" s="33119"/>
      <c r="CQ237" s="33119"/>
      <c r="CR237" s="33119"/>
      <c r="CS237" s="33119"/>
      <c r="CT237" s="33121"/>
      <c r="CU237" s="33120"/>
      <c r="CV237" s="33122" t="s">
        <v>621</v>
      </c>
      <c r="CW237" s="33123"/>
      <c r="CX237" s="33124"/>
      <c r="CY237" s="33124" t="str">
        <f>IF(T237="","",T237)</f>
        <v>Группа потребителей</v>
      </c>
      <c r="CZ237" s="33124"/>
      <c r="DA237" s="33124"/>
      <c r="DB237" s="33125">
        <v>0</v>
      </c>
    </row>
    <row s="57179" customFormat="1" customHeight="1" ht="23.25">
      <c r="A238" s="33106"/>
      <c r="B238" s="33106"/>
      <c r="C238" s="33106"/>
      <c r="D238" s="33106"/>
      <c r="E238" s="33107"/>
      <c r="F238" s="33107"/>
      <c r="G238" s="33107"/>
      <c r="H238" s="33107"/>
      <c r="I238" s="33108"/>
      <c r="J238" s="33108" t="str">
        <f>I232&amp;".1"</f>
        <v>1.11.1.1.1</v>
      </c>
      <c r="K238" s="33109" t="str">
        <f>J237&amp;".1"</f>
        <v>1.11.1.1.2.1</v>
      </c>
      <c r="L238" s="33110"/>
      <c r="M238" s="33111"/>
      <c r="N238" s="33111"/>
      <c r="O238" s="33111"/>
      <c r="P238" s="33112"/>
      <c r="Q238" s="33112"/>
      <c r="R238" s="33114">
        <v>1</v>
      </c>
      <c r="S238" s="33115" t="str">
        <f>$K238</f>
        <v>1.11.1.1.2.1</v>
      </c>
      <c r="T238" s="33127"/>
      <c r="U238" s="33117"/>
      <c r="V238" s="33128"/>
      <c r="W238" s="33128"/>
      <c r="X238" s="33129"/>
      <c r="Y238" s="33020"/>
      <c r="Z238" s="33130" t="s">
        <v>63</v>
      </c>
      <c r="AA238" s="33020"/>
      <c r="AB238" s="33130" t="s">
        <v>63</v>
      </c>
      <c r="AC238" s="33128">
        <v>40.18</v>
      </c>
      <c r="AD238" s="33128"/>
      <c r="AE238" s="33129"/>
      <c r="AF238" s="57093">
        <v>45292.59459490741</v>
      </c>
      <c r="AG238" s="33130" t="s">
        <v>63</v>
      </c>
      <c r="AH238" s="57094">
        <v>45473.59475694445</v>
      </c>
      <c r="AI238" s="33130" t="s">
        <v>63</v>
      </c>
      <c r="AJ238" s="33128">
        <v>49.83</v>
      </c>
      <c r="AK238" s="33128"/>
      <c r="AL238" s="33129"/>
      <c r="AM238" s="57093">
        <v>45474.59385416667</v>
      </c>
      <c r="AN238" s="33130" t="s">
        <v>63</v>
      </c>
      <c r="AO238" s="57093">
        <v>45657.59378472222</v>
      </c>
      <c r="AP238" s="33130" t="s">
        <v>63</v>
      </c>
      <c r="AQ238" s="33128">
        <v>49.83</v>
      </c>
      <c r="AR238" s="33128"/>
      <c r="AS238" s="33129"/>
      <c r="AT238" s="57093">
        <v>45658.59341435185</v>
      </c>
      <c r="AU238" s="33130" t="s">
        <v>63</v>
      </c>
      <c r="AV238" s="57093">
        <v>45838.59332175926</v>
      </c>
      <c r="AW238" s="33130" t="s">
        <v>63</v>
      </c>
      <c r="AX238" s="33128">
        <v>54.81</v>
      </c>
      <c r="AY238" s="33128"/>
      <c r="AZ238" s="33129"/>
      <c r="BA238" s="57093">
        <v>45839.592881944445</v>
      </c>
      <c r="BB238" s="33130" t="s">
        <v>63</v>
      </c>
      <c r="BC238" s="57093">
        <v>46022.59269675926</v>
      </c>
      <c r="BD238" s="33130" t="s">
        <v>63</v>
      </c>
      <c r="BE238" s="33128">
        <v>54.81</v>
      </c>
      <c r="BF238" s="33128"/>
      <c r="BG238" s="33129"/>
      <c r="BH238" s="57093">
        <v>46023.59241898148</v>
      </c>
      <c r="BI238" s="33130" t="s">
        <v>63</v>
      </c>
      <c r="BJ238" s="57093">
        <v>46203.59224537037</v>
      </c>
      <c r="BK238" s="33130" t="s">
        <v>63</v>
      </c>
      <c r="BL238" s="33128">
        <v>57</v>
      </c>
      <c r="BM238" s="33128"/>
      <c r="BN238" s="33129"/>
      <c r="BO238" s="57093">
        <v>46204.59150462963</v>
      </c>
      <c r="BP238" s="33130" t="s">
        <v>63</v>
      </c>
      <c r="BQ238" s="57093">
        <v>46387.59143518518</v>
      </c>
      <c r="BR238" s="33130" t="s">
        <v>63</v>
      </c>
      <c r="BS238" s="33128">
        <v>57</v>
      </c>
      <c r="BT238" s="33128"/>
      <c r="BU238" s="33129"/>
      <c r="BV238" s="57093">
        <v>46388.59111111111</v>
      </c>
      <c r="BW238" s="33130" t="s">
        <v>63</v>
      </c>
      <c r="BX238" s="57093">
        <v>46568.59086805556</v>
      </c>
      <c r="BY238" s="33130" t="s">
        <v>63</v>
      </c>
      <c r="BZ238" s="33128">
        <v>59.28</v>
      </c>
      <c r="CA238" s="33128"/>
      <c r="CB238" s="33129"/>
      <c r="CC238" s="57093">
        <v>46569.59033564815</v>
      </c>
      <c r="CD238" s="33130" t="s">
        <v>63</v>
      </c>
      <c r="CE238" s="57093">
        <v>46752.590150462966</v>
      </c>
      <c r="CF238" s="33130" t="s">
        <v>63</v>
      </c>
      <c r="CG238" s="33128">
        <v>59.28</v>
      </c>
      <c r="CH238" s="33128"/>
      <c r="CI238" s="33129"/>
      <c r="CJ238" s="57093">
        <v>46753.58986111111</v>
      </c>
      <c r="CK238" s="33130" t="s">
        <v>63</v>
      </c>
      <c r="CL238" s="57093">
        <v>46934.58974537037</v>
      </c>
      <c r="CM238" s="33130" t="s">
        <v>63</v>
      </c>
      <c r="CN238" s="33128">
        <v>59.91</v>
      </c>
      <c r="CO238" s="33128"/>
      <c r="CP238" s="33129"/>
      <c r="CQ238" s="57093">
        <v>46935.589467592596</v>
      </c>
      <c r="CR238" s="33130" t="s">
        <v>63</v>
      </c>
      <c r="CS238" s="57093">
        <v>47118.58923611111</v>
      </c>
      <c r="CT238" s="33131" t="s">
        <v>63</v>
      </c>
      <c r="CU238" s="33132"/>
      <c r="CV238"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8" s="33123">
        <f>STRCHECKDATE(V239:CU239)</f>
      </c>
      <c r="CX238" s="33124"/>
      <c r="CY238" s="33124" t="str">
        <f>IF(T238="","",T238)</f>
        <v/>
      </c>
      <c r="CZ238" s="33124"/>
      <c r="DA238" s="33124"/>
      <c r="DB238" s="33125">
        <v>0</v>
      </c>
    </row>
    <row s="57180" customFormat="1" customHeight="1" ht="14.25">
      <c r="A239" s="33106"/>
      <c r="B239" s="33106"/>
      <c r="C239" s="33106"/>
      <c r="D239" s="33106"/>
      <c r="E239" s="33107"/>
      <c r="F239" s="33107"/>
      <c r="G239" s="33107"/>
      <c r="H239" s="33107"/>
      <c r="I239" s="33108"/>
      <c r="J239" s="33108" t="str">
        <f>I232&amp;".1"</f>
        <v>1.11.1.1.1</v>
      </c>
      <c r="K239" s="33109"/>
      <c r="L239" s="33110"/>
      <c r="M239" s="33111"/>
      <c r="N239" s="33111"/>
      <c r="O239" s="33111"/>
      <c r="P239" s="33112"/>
      <c r="Q239" s="33112"/>
      <c r="R239" s="33114"/>
      <c r="S239" s="33135"/>
      <c r="T239" s="33117"/>
      <c r="U239" s="33117"/>
      <c r="V239" s="33136"/>
      <c r="W239" s="33136"/>
      <c r="X239" s="33137" t="str">
        <f>Y238&amp;"-"&amp;AA238</f>
        <v>-</v>
      </c>
      <c r="Y239" s="33138"/>
      <c r="Z239" s="33130"/>
      <c r="AA239" s="33138"/>
      <c r="AB239" s="33130"/>
      <c r="AC239" s="33136"/>
      <c r="AD239" s="33136"/>
      <c r="AE239" s="33137" t="str">
        <f>AF238&amp;"-"&amp;AH238</f>
        <v>45292.59459490741-45473.59475694445</v>
      </c>
      <c r="AF239" s="33138"/>
      <c r="AG239" s="33130"/>
      <c r="AH239" s="33139"/>
      <c r="AI239" s="33130"/>
      <c r="AJ239" s="33136"/>
      <c r="AK239" s="33136"/>
      <c r="AL239" s="33137" t="str">
        <f>AM238&amp;"-"&amp;AO238</f>
        <v>45474.59385416667-45657.59378472222</v>
      </c>
      <c r="AM239" s="33138"/>
      <c r="AN239" s="33130"/>
      <c r="AO239" s="33138"/>
      <c r="AP239" s="33130"/>
      <c r="AQ239" s="33136"/>
      <c r="AR239" s="33136"/>
      <c r="AS239" s="33137" t="str">
        <f>AT238&amp;"-"&amp;AV238</f>
        <v>45658.59341435185-45838.59332175926</v>
      </c>
      <c r="AT239" s="33138"/>
      <c r="AU239" s="33130"/>
      <c r="AV239" s="33138"/>
      <c r="AW239" s="33130"/>
      <c r="AX239" s="33136"/>
      <c r="AY239" s="33136"/>
      <c r="AZ239" s="33137" t="str">
        <f>BA238&amp;"-"&amp;BC238</f>
        <v>45839.592881944445-46022.59269675926</v>
      </c>
      <c r="BA239" s="33138"/>
      <c r="BB239" s="33130"/>
      <c r="BC239" s="33138"/>
      <c r="BD239" s="33130"/>
      <c r="BE239" s="33136"/>
      <c r="BF239" s="33136"/>
      <c r="BG239" s="33137" t="str">
        <f>BH238&amp;"-"&amp;BJ238</f>
        <v>46023.59241898148-46203.59224537037</v>
      </c>
      <c r="BH239" s="33138"/>
      <c r="BI239" s="33130"/>
      <c r="BJ239" s="33138"/>
      <c r="BK239" s="33130"/>
      <c r="BL239" s="33136"/>
      <c r="BM239" s="33136"/>
      <c r="BN239" s="33137" t="str">
        <f>BO238&amp;"-"&amp;BQ238</f>
        <v>46204.59150462963-46387.59143518518</v>
      </c>
      <c r="BO239" s="33138"/>
      <c r="BP239" s="33130"/>
      <c r="BQ239" s="33138"/>
      <c r="BR239" s="33130"/>
      <c r="BS239" s="33136"/>
      <c r="BT239" s="33136"/>
      <c r="BU239" s="33137" t="str">
        <f>BV238&amp;"-"&amp;BX238</f>
        <v>46388.59111111111-46568.59086805556</v>
      </c>
      <c r="BV239" s="33138"/>
      <c r="BW239" s="33130"/>
      <c r="BX239" s="33138"/>
      <c r="BY239" s="33130"/>
      <c r="BZ239" s="33136"/>
      <c r="CA239" s="33136"/>
      <c r="CB239" s="33137" t="str">
        <f>CC238&amp;"-"&amp;CE238</f>
        <v>46569.59033564815-46752.590150462966</v>
      </c>
      <c r="CC239" s="33138"/>
      <c r="CD239" s="33130"/>
      <c r="CE239" s="33138"/>
      <c r="CF239" s="33130"/>
      <c r="CG239" s="33136"/>
      <c r="CH239" s="33136"/>
      <c r="CI239" s="33137" t="str">
        <f>CJ238&amp;"-"&amp;CL238</f>
        <v>46753.58986111111-46934.58974537037</v>
      </c>
      <c r="CJ239" s="33138"/>
      <c r="CK239" s="33130"/>
      <c r="CL239" s="33138"/>
      <c r="CM239" s="33130"/>
      <c r="CN239" s="33136"/>
      <c r="CO239" s="33136"/>
      <c r="CP239" s="33137" t="str">
        <f>CQ238&amp;"-"&amp;CS238</f>
        <v>46935.589467592596-47118.58923611111</v>
      </c>
      <c r="CQ239" s="33138"/>
      <c r="CR239" s="33130"/>
      <c r="CS239" s="33138"/>
      <c r="CT239" s="33131"/>
      <c r="CU239" s="33140"/>
      <c r="CV239" s="33133"/>
      <c r="CW239" s="33123"/>
      <c r="CX239" s="33124"/>
      <c r="CY239" s="33124" t="str">
        <f>IF(T239="","",T239)</f>
        <v/>
      </c>
      <c r="CZ239" s="33124"/>
      <c r="DA239" s="33124"/>
      <c r="DB239" s="33125">
        <v>0</v>
      </c>
    </row>
    <row s="57181" customFormat="1" customHeight="1" ht="21">
      <c r="A240" s="33106"/>
      <c r="B240" s="33106"/>
      <c r="C240" s="33106"/>
      <c r="D240" s="33106"/>
      <c r="E240" s="33107"/>
      <c r="F240" s="33107"/>
      <c r="G240" s="33107"/>
      <c r="H240" s="33107"/>
      <c r="I240" s="33108"/>
      <c r="J240" s="33109" t="str">
        <f>I232&amp;".1"</f>
        <v>1.11.1.1.1</v>
      </c>
      <c r="K240" s="33106"/>
      <c r="L240" s="33110"/>
      <c r="M240" s="33111"/>
      <c r="N240" s="33111"/>
      <c r="O240" s="33111"/>
      <c r="P240" s="33112"/>
      <c r="Q240" s="33112"/>
      <c r="R240" s="33142"/>
      <c r="S240" s="35522"/>
      <c r="T240" s="35523" t="s">
        <v>622</v>
      </c>
      <c r="U240" s="35524"/>
      <c r="V240" s="35525"/>
      <c r="W240" s="35526"/>
      <c r="X240" s="35527"/>
      <c r="Y240" s="35528"/>
      <c r="Z240" s="35529"/>
      <c r="AA240" s="35530"/>
      <c r="AB240" s="35531"/>
      <c r="AC240" s="35532"/>
      <c r="AD240" s="35533"/>
      <c r="AE240" s="35534"/>
      <c r="AF240" s="35535"/>
      <c r="AG240" s="35536"/>
      <c r="AH240" s="35537"/>
      <c r="AI240" s="35538"/>
      <c r="AJ240" s="35539"/>
      <c r="AK240" s="35540"/>
      <c r="AL240" s="35541"/>
      <c r="AM240" s="35542"/>
      <c r="AN240" s="35543"/>
      <c r="AO240" s="35544"/>
      <c r="AP240" s="35545"/>
      <c r="AQ240" s="35546"/>
      <c r="AR240" s="35547"/>
      <c r="AS240" s="35548"/>
      <c r="AT240" s="35549"/>
      <c r="AU240" s="35550"/>
      <c r="AV240" s="35551"/>
      <c r="AW240" s="35552"/>
      <c r="AX240" s="35553"/>
      <c r="AY240" s="35554"/>
      <c r="AZ240" s="35555"/>
      <c r="BA240" s="35556"/>
      <c r="BB240" s="35557"/>
      <c r="BC240" s="35558"/>
      <c r="BD240" s="35559"/>
      <c r="BE240" s="35560"/>
      <c r="BF240" s="35561"/>
      <c r="BG240" s="35562"/>
      <c r="BH240" s="35563"/>
      <c r="BI240" s="35564"/>
      <c r="BJ240" s="35565"/>
      <c r="BK240" s="35566"/>
      <c r="BL240" s="35567"/>
      <c r="BM240" s="35568"/>
      <c r="BN240" s="35569"/>
      <c r="BO240" s="35570"/>
      <c r="BP240" s="35571"/>
      <c r="BQ240" s="35572"/>
      <c r="BR240" s="35573"/>
      <c r="BS240" s="35574"/>
      <c r="BT240" s="35575"/>
      <c r="BU240" s="35576"/>
      <c r="BV240" s="35577"/>
      <c r="BW240" s="35578"/>
      <c r="BX240" s="35579"/>
      <c r="BY240" s="35580"/>
      <c r="BZ240" s="35581"/>
      <c r="CA240" s="35582"/>
      <c r="CB240" s="35583"/>
      <c r="CC240" s="35584"/>
      <c r="CD240" s="35585"/>
      <c r="CE240" s="35586"/>
      <c r="CF240" s="35587"/>
      <c r="CG240" s="35588"/>
      <c r="CH240" s="35589"/>
      <c r="CI240" s="35590"/>
      <c r="CJ240" s="35591"/>
      <c r="CK240" s="35592"/>
      <c r="CL240" s="35593"/>
      <c r="CM240" s="35594"/>
      <c r="CN240" s="35595"/>
      <c r="CO240" s="35596"/>
      <c r="CP240" s="35597"/>
      <c r="CQ240" s="35598"/>
      <c r="CR240" s="35599"/>
      <c r="CS240" s="35600"/>
      <c r="CT240" s="35601"/>
      <c r="CU240" s="35602"/>
      <c r="CV240" s="33224" t="s">
        <v>623</v>
      </c>
      <c r="CW240" s="33123"/>
      <c r="CX240" s="33124"/>
      <c r="CY240" s="33124" t="str">
        <f>IF(T240="","",T240)</f>
        <v>Добавить значение признака дифференциации</v>
      </c>
      <c r="CZ240" s="33124"/>
      <c r="DA240" s="33124"/>
      <c r="DB240" s="33125">
        <v>0</v>
      </c>
    </row>
    <row s="57263" customFormat="1" customHeight="1" ht="21">
      <c r="A241" s="21621"/>
      <c r="B241" s="21621"/>
      <c r="C241" s="21621"/>
      <c r="D241" s="21621"/>
      <c r="E241" s="21622"/>
      <c r="F241" s="21622" t="s">
        <v>145</v>
      </c>
      <c r="G241" s="21622"/>
      <c r="H241" s="21622"/>
      <c r="I241" s="21638"/>
      <c r="J241" s="21621"/>
      <c r="K241" s="21621"/>
      <c r="L241" s="21624"/>
      <c r="M241" s="21639"/>
      <c r="N241" s="21639"/>
      <c r="O241" s="21639"/>
      <c r="P241" s="21640"/>
      <c r="Q241" s="21640"/>
      <c r="R241" s="21641"/>
      <c r="S241" s="25569"/>
      <c r="T241" s="25570" t="s">
        <v>551</v>
      </c>
      <c r="U241" s="25571"/>
      <c r="V241" s="25572"/>
      <c r="W241" s="25573"/>
      <c r="X241" s="25574"/>
      <c r="Y241" s="25575"/>
      <c r="Z241" s="25576"/>
      <c r="AA241" s="25577"/>
      <c r="AB241" s="25578"/>
      <c r="AC241" s="25579"/>
      <c r="AD241" s="25580"/>
      <c r="AE241" s="25581"/>
      <c r="AF241" s="25582"/>
      <c r="AG241" s="25583"/>
      <c r="AH241" s="25584"/>
      <c r="AI241" s="25585"/>
      <c r="AJ241" s="25586"/>
      <c r="AK241" s="25587"/>
      <c r="AL241" s="25588"/>
      <c r="AM241" s="25589"/>
      <c r="AN241" s="25590"/>
      <c r="AO241" s="25591"/>
      <c r="AP241" s="25592"/>
      <c r="AQ241" s="25593"/>
      <c r="AR241" s="25594"/>
      <c r="AS241" s="25595"/>
      <c r="AT241" s="25596"/>
      <c r="AU241" s="25597"/>
      <c r="AV241" s="25598"/>
      <c r="AW241" s="25599"/>
      <c r="AX241" s="25600"/>
      <c r="AY241" s="25601"/>
      <c r="AZ241" s="25602"/>
      <c r="BA241" s="25603"/>
      <c r="BB241" s="25604"/>
      <c r="BC241" s="25605"/>
      <c r="BD241" s="25606"/>
      <c r="BE241" s="25607"/>
      <c r="BF241" s="25608"/>
      <c r="BG241" s="25609"/>
      <c r="BH241" s="25610"/>
      <c r="BI241" s="25611"/>
      <c r="BJ241" s="25612"/>
      <c r="BK241" s="25613"/>
      <c r="BL241" s="25614"/>
      <c r="BM241" s="25615"/>
      <c r="BN241" s="25616"/>
      <c r="BO241" s="25617"/>
      <c r="BP241" s="25618"/>
      <c r="BQ241" s="25619"/>
      <c r="BR241" s="25620"/>
      <c r="BS241" s="25621"/>
      <c r="BT241" s="25622"/>
      <c r="BU241" s="25623"/>
      <c r="BV241" s="25624"/>
      <c r="BW241" s="25625"/>
      <c r="BX241" s="25626"/>
      <c r="BY241" s="25627"/>
      <c r="BZ241" s="25628"/>
      <c r="CA241" s="25629"/>
      <c r="CB241" s="25630"/>
      <c r="CC241" s="25631"/>
      <c r="CD241" s="25632"/>
      <c r="CE241" s="25633"/>
      <c r="CF241" s="25634"/>
      <c r="CG241" s="25635"/>
      <c r="CH241" s="25636"/>
      <c r="CI241" s="25637"/>
      <c r="CJ241" s="25638"/>
      <c r="CK241" s="25639"/>
      <c r="CL241" s="25640"/>
      <c r="CM241" s="25641"/>
      <c r="CN241" s="25642"/>
      <c r="CO241" s="25643"/>
      <c r="CP241" s="25644"/>
      <c r="CQ241" s="25645"/>
      <c r="CR241" s="25646"/>
      <c r="CS241" s="25647"/>
      <c r="CT241" s="25648"/>
      <c r="CU241" s="25649"/>
      <c r="CV241" s="25650"/>
      <c r="CW241" s="21281"/>
      <c r="CX241" s="21633"/>
      <c r="CY241" s="21633" t="str">
        <f>IF(T241="","",T241)</f>
        <v>Добавить группу потребителей</v>
      </c>
      <c r="CZ241" s="21633"/>
      <c r="DA241" s="21633"/>
      <c r="DB241" s="21020">
        <v>0</v>
      </c>
    </row>
    <row s="57346" customFormat="1" customHeight="1" ht="14.25">
      <c r="A242" s="21621"/>
      <c r="B242" s="21621"/>
      <c r="C242" s="21621"/>
      <c r="D242" s="21621"/>
      <c r="E242" s="21622"/>
      <c r="F242" s="21622" t="s">
        <v>145</v>
      </c>
      <c r="G242" s="21622"/>
      <c r="H242" s="21623"/>
      <c r="I242" s="21621"/>
      <c r="J242" s="21621"/>
      <c r="K242" s="21621"/>
      <c r="L242" s="21624"/>
      <c r="M242" s="21625"/>
      <c r="N242" s="21625"/>
      <c r="O242" s="21264"/>
      <c r="P242" s="21910"/>
      <c r="Q242" s="21911"/>
      <c r="R242" s="21912"/>
      <c r="S242" s="25652"/>
      <c r="T242" s="25653" t="s">
        <v>624</v>
      </c>
      <c r="U242" s="25654"/>
      <c r="V242" s="25655"/>
      <c r="W242" s="25656"/>
      <c r="X242" s="25657"/>
      <c r="Y242" s="25658"/>
      <c r="Z242" s="25659"/>
      <c r="AA242" s="25660"/>
      <c r="AB242" s="25661"/>
      <c r="AC242" s="25662"/>
      <c r="AD242" s="25663"/>
      <c r="AE242" s="25664"/>
      <c r="AF242" s="25665"/>
      <c r="AG242" s="25666"/>
      <c r="AH242" s="25667"/>
      <c r="AI242" s="25668"/>
      <c r="AJ242" s="25669"/>
      <c r="AK242" s="25670"/>
      <c r="AL242" s="25671"/>
      <c r="AM242" s="25672"/>
      <c r="AN242" s="25673"/>
      <c r="AO242" s="25674"/>
      <c r="AP242" s="25675"/>
      <c r="AQ242" s="25676"/>
      <c r="AR242" s="25677"/>
      <c r="AS242" s="25678"/>
      <c r="AT242" s="25679"/>
      <c r="AU242" s="25680"/>
      <c r="AV242" s="25681"/>
      <c r="AW242" s="25682"/>
      <c r="AX242" s="25683"/>
      <c r="AY242" s="25684"/>
      <c r="AZ242" s="25685"/>
      <c r="BA242" s="25686"/>
      <c r="BB242" s="25687"/>
      <c r="BC242" s="25688"/>
      <c r="BD242" s="25689"/>
      <c r="BE242" s="25690"/>
      <c r="BF242" s="25691"/>
      <c r="BG242" s="25692"/>
      <c r="BH242" s="25693"/>
      <c r="BI242" s="25694"/>
      <c r="BJ242" s="25695"/>
      <c r="BK242" s="25696"/>
      <c r="BL242" s="25697"/>
      <c r="BM242" s="25698"/>
      <c r="BN242" s="25699"/>
      <c r="BO242" s="25700"/>
      <c r="BP242" s="25701"/>
      <c r="BQ242" s="25702"/>
      <c r="BR242" s="25703"/>
      <c r="BS242" s="25704"/>
      <c r="BT242" s="25705"/>
      <c r="BU242" s="25706"/>
      <c r="BV242" s="25707"/>
      <c r="BW242" s="25708"/>
      <c r="BX242" s="25709"/>
      <c r="BY242" s="25710"/>
      <c r="BZ242" s="25711"/>
      <c r="CA242" s="25712"/>
      <c r="CB242" s="25713"/>
      <c r="CC242" s="25714"/>
      <c r="CD242" s="25715"/>
      <c r="CE242" s="25716"/>
      <c r="CF242" s="25717"/>
      <c r="CG242" s="25718"/>
      <c r="CH242" s="25719"/>
      <c r="CI242" s="25720"/>
      <c r="CJ242" s="25721"/>
      <c r="CK242" s="25722"/>
      <c r="CL242" s="25723"/>
      <c r="CM242" s="25724"/>
      <c r="CN242" s="25725"/>
      <c r="CO242" s="25726"/>
      <c r="CP242" s="25727"/>
      <c r="CQ242" s="25728"/>
      <c r="CR242" s="25729"/>
      <c r="CS242" s="25730"/>
      <c r="CT242" s="25731"/>
      <c r="CU242" s="25732"/>
      <c r="CV242" s="25733"/>
      <c r="CW242" s="21281"/>
      <c r="CX242" s="21633"/>
      <c r="CY242" s="21633" t="str">
        <f>IF(T242="","",T242)</f>
        <v>Добавить наименование признака дифференциации</v>
      </c>
      <c r="CZ242" s="21633"/>
      <c r="DA242" s="21633"/>
      <c r="DB242" s="21020">
        <v>0</v>
      </c>
    </row>
    <row s="57429" customFormat="1" customHeight="1" ht="14.25">
      <c r="A243" s="21996"/>
      <c r="B243" s="21996"/>
      <c r="C243" s="21996"/>
      <c r="D243" s="21996"/>
      <c r="E243" s="21622"/>
      <c r="F243" s="21623" t="s">
        <v>145</v>
      </c>
      <c r="G243" s="21996"/>
      <c r="H243" s="21996"/>
      <c r="I243" s="21996"/>
      <c r="J243" s="21996"/>
      <c r="K243" s="21996"/>
      <c r="L243" s="21997"/>
      <c r="M243" s="21998"/>
      <c r="N243" s="21998"/>
      <c r="O243" s="21281"/>
      <c r="P243" s="21999"/>
      <c r="Q243" s="22000"/>
      <c r="R243" s="21999"/>
      <c r="S243" s="22001"/>
      <c r="T243" s="22002" t="s">
        <v>290</v>
      </c>
      <c r="U243" s="21260"/>
      <c r="V243" s="21260"/>
      <c r="W243" s="21260"/>
      <c r="X243" s="21260"/>
      <c r="Y243" s="21260"/>
      <c r="Z243" s="21260"/>
      <c r="AA243" s="21260"/>
      <c r="AB243" s="21260"/>
      <c r="AC243" s="21260"/>
      <c r="AD243" s="21260"/>
      <c r="AE243" s="21260"/>
      <c r="AF243" s="21260"/>
      <c r="AG243" s="21260"/>
      <c r="AH243" s="21260"/>
      <c r="AI243" s="21260"/>
      <c r="AJ243" s="21260"/>
      <c r="AK243" s="21260"/>
      <c r="AL243" s="21260"/>
      <c r="AM243" s="21260"/>
      <c r="AN243" s="21260"/>
      <c r="AO243" s="21260"/>
      <c r="AP243" s="21260"/>
      <c r="AQ243" s="21260"/>
      <c r="AR243" s="21260"/>
      <c r="AS243" s="21260"/>
      <c r="AT243" s="21260"/>
      <c r="AU243" s="21260"/>
      <c r="AV243" s="21260"/>
      <c r="AW243" s="21260"/>
      <c r="AX243" s="21260"/>
      <c r="AY243" s="21260"/>
      <c r="AZ243" s="21260"/>
      <c r="BA243" s="21260"/>
      <c r="BB243" s="21260"/>
      <c r="BC243" s="21260"/>
      <c r="BD243" s="21260"/>
      <c r="BE243" s="21260"/>
      <c r="BF243" s="21260"/>
      <c r="BG243" s="21260"/>
      <c r="BH243" s="21260"/>
      <c r="BI243" s="21260"/>
      <c r="BJ243" s="21260"/>
      <c r="BK243" s="21260"/>
      <c r="BL243" s="21260"/>
      <c r="BM243" s="21260"/>
      <c r="BN243" s="21260"/>
      <c r="BO243" s="21260"/>
      <c r="BP243" s="21260"/>
      <c r="BQ243" s="21260"/>
      <c r="BR243" s="21260"/>
      <c r="BS243" s="21260"/>
      <c r="BT243" s="21260"/>
      <c r="BU243" s="21260"/>
      <c r="BV243" s="21260"/>
      <c r="BW243" s="21260"/>
      <c r="BX243" s="21260"/>
      <c r="BY243" s="21260"/>
      <c r="BZ243" s="21260"/>
      <c r="CA243" s="21260"/>
      <c r="CB243" s="21260"/>
      <c r="CC243" s="21260"/>
      <c r="CD243" s="21260"/>
      <c r="CE243" s="21260"/>
      <c r="CF243" s="21260"/>
      <c r="CG243" s="21260"/>
      <c r="CH243" s="21260"/>
      <c r="CI243" s="21260"/>
      <c r="CJ243" s="21260"/>
      <c r="CK243" s="21260"/>
      <c r="CL243" s="21260"/>
      <c r="CM243" s="21260"/>
      <c r="CN243" s="21260"/>
      <c r="CO243" s="21260"/>
      <c r="CP243" s="21260"/>
      <c r="CQ243" s="21260"/>
      <c r="CR243" s="21260"/>
      <c r="CS243" s="21260"/>
      <c r="CT243" s="21260"/>
      <c r="CU243" s="21260"/>
      <c r="CV243" s="21260"/>
      <c r="CW243" s="21281"/>
      <c r="CX243" s="21633"/>
      <c r="CY243" s="21633" t="str">
        <f>IF(T243="","",T243)</f>
        <v>Добавить централизованную систему для дифференциации</v>
      </c>
      <c r="CZ243" s="21633"/>
      <c r="DA243" s="21633"/>
      <c r="DB243" s="21281">
        <v>0</v>
      </c>
    </row>
    <row s="57430" customFormat="1" customHeight="1" ht="23.25">
      <c r="A244" s="21621"/>
      <c r="B244" s="21621" t="s">
        <v>344</v>
      </c>
      <c r="C244" s="21621"/>
      <c r="D244" s="21621"/>
      <c r="E244" s="21622"/>
      <c r="F244" s="21623" t="s">
        <v>156</v>
      </c>
      <c r="G244" s="21621"/>
      <c r="H244" s="21621"/>
      <c r="I244" s="21621"/>
      <c r="J244" s="21621"/>
      <c r="K244" s="21621"/>
      <c r="L244" s="21624"/>
      <c r="M244" s="21625"/>
      <c r="N244" s="21625"/>
      <c r="O244" s="21625"/>
      <c r="P244" s="21626"/>
      <c r="Q244" s="21627"/>
      <c r="R244" s="21628"/>
      <c r="S244" s="21629" t="str">
        <f>INDEX(PT_DIFFERENTIATION_NUM_TER,MATCH(B244,PT_DIFFERENTIATION_TER_ID,0))</f>
        <v>1.12</v>
      </c>
      <c r="T244" s="21630" t="s">
        <v>536</v>
      </c>
      <c r="U244" s="21631"/>
      <c r="V244" s="21025"/>
      <c r="W244" s="21026"/>
      <c r="X244" s="21026"/>
      <c r="Y244" s="21026"/>
      <c r="Z244" s="21026"/>
      <c r="AA244" s="21026"/>
      <c r="AB244" s="21027"/>
      <c r="AC244" s="21025" t="str">
        <f>INDEX(PT_DIFFERENTIATION_TER,MATCH(B244,PT_DIFFERENTIATION_TER_ID,0))</f>
        <v>Территория 12</v>
      </c>
      <c r="AD244" s="21026"/>
      <c r="AE244" s="21026"/>
      <c r="AF244" s="21026"/>
      <c r="AG244" s="21026"/>
      <c r="AH244" s="21026"/>
      <c r="AI244" s="21026"/>
      <c r="AJ244" s="21025"/>
      <c r="AK244" s="21026"/>
      <c r="AL244" s="21026"/>
      <c r="AM244" s="21026"/>
      <c r="AN244" s="21026"/>
      <c r="AO244" s="21026"/>
      <c r="AP244" s="21027"/>
      <c r="AQ244" s="21025"/>
      <c r="AR244" s="21026"/>
      <c r="AS244" s="21026"/>
      <c r="AT244" s="21026"/>
      <c r="AU244" s="21026"/>
      <c r="AV244" s="21026"/>
      <c r="AW244" s="21027"/>
      <c r="AX244" s="21025"/>
      <c r="AY244" s="21026"/>
      <c r="AZ244" s="21026"/>
      <c r="BA244" s="21026"/>
      <c r="BB244" s="21026"/>
      <c r="BC244" s="21026"/>
      <c r="BD244" s="21027"/>
      <c r="BE244" s="21025"/>
      <c r="BF244" s="21026"/>
      <c r="BG244" s="21026"/>
      <c r="BH244" s="21026"/>
      <c r="BI244" s="21026"/>
      <c r="BJ244" s="21026"/>
      <c r="BK244" s="21027"/>
      <c r="BL244" s="21025"/>
      <c r="BM244" s="21026"/>
      <c r="BN244" s="21026"/>
      <c r="BO244" s="21026"/>
      <c r="BP244" s="21026"/>
      <c r="BQ244" s="21026"/>
      <c r="BR244" s="21027"/>
      <c r="BS244" s="21025"/>
      <c r="BT244" s="21026"/>
      <c r="BU244" s="21026"/>
      <c r="BV244" s="21026"/>
      <c r="BW244" s="21026"/>
      <c r="BX244" s="21026"/>
      <c r="BY244" s="21027"/>
      <c r="BZ244" s="21025"/>
      <c r="CA244" s="21026"/>
      <c r="CB244" s="21026"/>
      <c r="CC244" s="21026"/>
      <c r="CD244" s="21026"/>
      <c r="CE244" s="21026"/>
      <c r="CF244" s="21027"/>
      <c r="CG244" s="21025"/>
      <c r="CH244" s="21026"/>
      <c r="CI244" s="21026"/>
      <c r="CJ244" s="21026"/>
      <c r="CK244" s="21026"/>
      <c r="CL244" s="21026"/>
      <c r="CM244" s="21027"/>
      <c r="CN244" s="21025"/>
      <c r="CO244" s="21026"/>
      <c r="CP244" s="21026"/>
      <c r="CQ244" s="21026"/>
      <c r="CR244" s="21026"/>
      <c r="CS244" s="21026"/>
      <c r="CT244" s="21027"/>
      <c r="CU244" s="21027"/>
      <c r="CV244" s="21632" t="s">
        <v>537</v>
      </c>
      <c r="CW244" s="21281"/>
      <c r="CX244" s="21633"/>
      <c r="CY244" s="21633" t="str">
        <f>IF(T244="","",T244)</f>
        <v>Территория действия тарифа</v>
      </c>
      <c r="CZ244" s="21633"/>
      <c r="DA244" s="21633"/>
      <c r="DB244" s="21020">
        <v>0</v>
      </c>
    </row>
    <row s="57431" customFormat="1" customHeight="1" ht="23.25">
      <c r="A245" s="21621"/>
      <c r="B245" s="21621"/>
      <c r="C245" s="21621" t="s">
        <v>345</v>
      </c>
      <c r="D245" s="21621"/>
      <c r="E245" s="21622"/>
      <c r="F245" s="21622" t="s">
        <v>151</v>
      </c>
      <c r="G245" s="21623">
        <v>1</v>
      </c>
      <c r="H245" s="21621"/>
      <c r="I245" s="21621"/>
      <c r="J245" s="21621"/>
      <c r="K245" s="21621"/>
      <c r="L245" s="21624"/>
      <c r="M245" s="21625"/>
      <c r="N245" s="21625"/>
      <c r="O245" s="21625"/>
      <c r="P245" s="21635"/>
      <c r="Q245" s="21627"/>
      <c r="R245" s="21628"/>
      <c r="S245" s="21629" t="str">
        <f>INDEX(PT_DIFFERENTIATION_NUM_CS,MATCH(C245,PT_DIFFERENTIATION_CS_ID,0))</f>
        <v>1.12.1</v>
      </c>
      <c r="T245" s="21636" t="s">
        <v>617</v>
      </c>
      <c r="U245" s="21631"/>
      <c r="V245" s="21025"/>
      <c r="W245" s="21026"/>
      <c r="X245" s="21026"/>
      <c r="Y245" s="21026"/>
      <c r="Z245" s="21026"/>
      <c r="AA245" s="21026"/>
      <c r="AB245" s="21027"/>
      <c r="AC245" s="21025" t="str">
        <f>INDEX(PT_DIFFERENTIATION_CS,MATCH(C245,PT_DIFFERENTIATION_CS_ID,0))</f>
        <v>Дальнегорский ГО</v>
      </c>
      <c r="AD245" s="21026"/>
      <c r="AE245" s="21026"/>
      <c r="AF245" s="21026"/>
      <c r="AG245" s="21026"/>
      <c r="AH245" s="21026"/>
      <c r="AI245" s="21026"/>
      <c r="AJ245" s="21025"/>
      <c r="AK245" s="21026"/>
      <c r="AL245" s="21026"/>
      <c r="AM245" s="21026"/>
      <c r="AN245" s="21026"/>
      <c r="AO245" s="21026"/>
      <c r="AP245" s="21027"/>
      <c r="AQ245" s="21025"/>
      <c r="AR245" s="21026"/>
      <c r="AS245" s="21026"/>
      <c r="AT245" s="21026"/>
      <c r="AU245" s="21026"/>
      <c r="AV245" s="21026"/>
      <c r="AW245" s="21027"/>
      <c r="AX245" s="21025"/>
      <c r="AY245" s="21026"/>
      <c r="AZ245" s="21026"/>
      <c r="BA245" s="21026"/>
      <c r="BB245" s="21026"/>
      <c r="BC245" s="21026"/>
      <c r="BD245" s="21027"/>
      <c r="BE245" s="21025"/>
      <c r="BF245" s="21026"/>
      <c r="BG245" s="21026"/>
      <c r="BH245" s="21026"/>
      <c r="BI245" s="21026"/>
      <c r="BJ245" s="21026"/>
      <c r="BK245" s="21027"/>
      <c r="BL245" s="21025"/>
      <c r="BM245" s="21026"/>
      <c r="BN245" s="21026"/>
      <c r="BO245" s="21026"/>
      <c r="BP245" s="21026"/>
      <c r="BQ245" s="21026"/>
      <c r="BR245" s="21027"/>
      <c r="BS245" s="21025"/>
      <c r="BT245" s="21026"/>
      <c r="BU245" s="21026"/>
      <c r="BV245" s="21026"/>
      <c r="BW245" s="21026"/>
      <c r="BX245" s="21026"/>
      <c r="BY245" s="21027"/>
      <c r="BZ245" s="21025"/>
      <c r="CA245" s="21026"/>
      <c r="CB245" s="21026"/>
      <c r="CC245" s="21026"/>
      <c r="CD245" s="21026"/>
      <c r="CE245" s="21026"/>
      <c r="CF245" s="21027"/>
      <c r="CG245" s="21025"/>
      <c r="CH245" s="21026"/>
      <c r="CI245" s="21026"/>
      <c r="CJ245" s="21026"/>
      <c r="CK245" s="21026"/>
      <c r="CL245" s="21026"/>
      <c r="CM245" s="21027"/>
      <c r="CN245" s="21025"/>
      <c r="CO245" s="21026"/>
      <c r="CP245" s="21026"/>
      <c r="CQ245" s="21026"/>
      <c r="CR245" s="21026"/>
      <c r="CS245" s="21026"/>
      <c r="CT245" s="21027"/>
      <c r="CU245" s="21027"/>
      <c r="CV245" s="21632" t="s">
        <v>618</v>
      </c>
      <c r="CW245" s="21281"/>
      <c r="CX245" s="21633"/>
      <c r="CY245" s="21633" t="str">
        <f>IF(T245="","",T245)</f>
        <v>Наименование централизованной системы холодного водоснабжения</v>
      </c>
      <c r="CZ245" s="21633"/>
      <c r="DA245" s="21633"/>
      <c r="DB245" s="21020">
        <v>0</v>
      </c>
    </row>
    <row s="57432" customFormat="1" customHeight="1" ht="23.25">
      <c r="A246" s="21621"/>
      <c r="B246" s="21621"/>
      <c r="C246" s="21621"/>
      <c r="D246" s="21621"/>
      <c r="E246" s="21622"/>
      <c r="F246" s="21622" t="s">
        <v>151</v>
      </c>
      <c r="G246" s="21622"/>
      <c r="H246" s="21622"/>
      <c r="I246" s="21638" t="str">
        <f>S245&amp;".1"</f>
        <v>1.12.1.1</v>
      </c>
      <c r="J246" s="21621"/>
      <c r="K246" s="21621"/>
      <c r="L246" s="21624"/>
      <c r="M246" s="21639"/>
      <c r="N246" s="21639"/>
      <c r="O246" s="21639"/>
      <c r="P246" s="21640">
        <v>1</v>
      </c>
      <c r="Q246" s="21640"/>
      <c r="R246" s="21641"/>
      <c r="S246" s="21629" t="str">
        <f>$I246</f>
        <v>1.12.1.1</v>
      </c>
      <c r="T246" s="21642" t="s">
        <v>619</v>
      </c>
      <c r="U246" s="21631"/>
      <c r="V246" s="21038"/>
      <c r="W246" s="21039"/>
      <c r="X246" s="21039"/>
      <c r="Y246" s="21039"/>
      <c r="Z246" s="21039"/>
      <c r="AA246" s="21039"/>
      <c r="AB246" s="21040"/>
      <c r="AC246" s="21643"/>
      <c r="AD246" s="21644"/>
      <c r="AE246" s="21644"/>
      <c r="AF246" s="21644"/>
      <c r="AG246" s="21644"/>
      <c r="AH246" s="21644"/>
      <c r="AI246" s="21644"/>
      <c r="AJ246" s="21038"/>
      <c r="AK246" s="21039"/>
      <c r="AL246" s="21039"/>
      <c r="AM246" s="21039"/>
      <c r="AN246" s="21039"/>
      <c r="AO246" s="21039"/>
      <c r="AP246" s="21040"/>
      <c r="AQ246" s="21038"/>
      <c r="AR246" s="21039"/>
      <c r="AS246" s="21039"/>
      <c r="AT246" s="21039"/>
      <c r="AU246" s="21039"/>
      <c r="AV246" s="21039"/>
      <c r="AW246" s="21040"/>
      <c r="AX246" s="21038"/>
      <c r="AY246" s="21039"/>
      <c r="AZ246" s="21039"/>
      <c r="BA246" s="21039"/>
      <c r="BB246" s="21039"/>
      <c r="BC246" s="21039"/>
      <c r="BD246" s="21040"/>
      <c r="BE246" s="21038"/>
      <c r="BF246" s="21039"/>
      <c r="BG246" s="21039"/>
      <c r="BH246" s="21039"/>
      <c r="BI246" s="21039"/>
      <c r="BJ246" s="21039"/>
      <c r="BK246" s="21040"/>
      <c r="BL246" s="21038"/>
      <c r="BM246" s="21039"/>
      <c r="BN246" s="21039"/>
      <c r="BO246" s="21039"/>
      <c r="BP246" s="21039"/>
      <c r="BQ246" s="21039"/>
      <c r="BR246" s="21040"/>
      <c r="BS246" s="21038"/>
      <c r="BT246" s="21039"/>
      <c r="BU246" s="21039"/>
      <c r="BV246" s="21039"/>
      <c r="BW246" s="21039"/>
      <c r="BX246" s="21039"/>
      <c r="BY246" s="21040"/>
      <c r="BZ246" s="21038"/>
      <c r="CA246" s="21039"/>
      <c r="CB246" s="21039"/>
      <c r="CC246" s="21039"/>
      <c r="CD246" s="21039"/>
      <c r="CE246" s="21039"/>
      <c r="CF246" s="21040"/>
      <c r="CG246" s="21038"/>
      <c r="CH246" s="21039"/>
      <c r="CI246" s="21039"/>
      <c r="CJ246" s="21039"/>
      <c r="CK246" s="21039"/>
      <c r="CL246" s="21039"/>
      <c r="CM246" s="21040"/>
      <c r="CN246" s="21038"/>
      <c r="CO246" s="21039"/>
      <c r="CP246" s="21039"/>
      <c r="CQ246" s="21039"/>
      <c r="CR246" s="21039"/>
      <c r="CS246" s="21039"/>
      <c r="CT246" s="21040"/>
      <c r="CU246" s="21645"/>
      <c r="CV246" s="21632" t="s">
        <v>620</v>
      </c>
      <c r="CW246" s="21281"/>
      <c r="CX246" s="21633"/>
      <c r="CY246" s="21633" t="str">
        <f>IF(T246="","",T246)</f>
        <v>Наименование признака дифференциации</v>
      </c>
      <c r="CZ246" s="21633"/>
      <c r="DA246" s="21633"/>
      <c r="DB246" s="21020">
        <v>0</v>
      </c>
    </row>
    <row s="57433" customFormat="1" customHeight="1" ht="23.25">
      <c r="A247" s="21621"/>
      <c r="B247" s="21621"/>
      <c r="C247" s="21621"/>
      <c r="D247" s="21621"/>
      <c r="E247" s="21622"/>
      <c r="F247" s="21622" t="s">
        <v>151</v>
      </c>
      <c r="G247" s="21622"/>
      <c r="H247" s="21622"/>
      <c r="I247" s="21647"/>
      <c r="J247" s="21638" t="str">
        <f>I246&amp;".1"</f>
        <v>1.12.1.1.1</v>
      </c>
      <c r="K247" s="21621"/>
      <c r="L247" s="21624" t="s">
        <v>545</v>
      </c>
      <c r="M247" s="21639"/>
      <c r="N247" s="21639"/>
      <c r="O247" s="21639"/>
      <c r="P247" s="21640"/>
      <c r="Q247" s="21640">
        <v>1</v>
      </c>
      <c r="R247" s="21648"/>
      <c r="S247" s="21629" t="str">
        <f>$J247</f>
        <v>1.12.1.1.1</v>
      </c>
      <c r="T247" s="21649" t="s">
        <v>546</v>
      </c>
      <c r="U247" s="21631"/>
      <c r="V247" s="21045"/>
      <c r="W247" s="21046"/>
      <c r="X247" s="21046"/>
      <c r="Y247" s="21046"/>
      <c r="Z247" s="21046"/>
      <c r="AA247" s="21046"/>
      <c r="AB247" s="21047"/>
      <c r="AC247" s="21045" t="s">
        <v>632</v>
      </c>
      <c r="AD247" s="21046"/>
      <c r="AE247" s="21046"/>
      <c r="AF247" s="21046"/>
      <c r="AG247" s="21046"/>
      <c r="AH247" s="21046"/>
      <c r="AI247" s="21046"/>
      <c r="AJ247" s="21045"/>
      <c r="AK247" s="21046"/>
      <c r="AL247" s="21046"/>
      <c r="AM247" s="21046"/>
      <c r="AN247" s="21046"/>
      <c r="AO247" s="21046"/>
      <c r="AP247" s="21047"/>
      <c r="AQ247" s="21045"/>
      <c r="AR247" s="21046"/>
      <c r="AS247" s="21046"/>
      <c r="AT247" s="21046"/>
      <c r="AU247" s="21046"/>
      <c r="AV247" s="21046"/>
      <c r="AW247" s="21047"/>
      <c r="AX247" s="21045"/>
      <c r="AY247" s="21046"/>
      <c r="AZ247" s="21046"/>
      <c r="BA247" s="21046"/>
      <c r="BB247" s="21046"/>
      <c r="BC247" s="21046"/>
      <c r="BD247" s="21047"/>
      <c r="BE247" s="21045"/>
      <c r="BF247" s="21046"/>
      <c r="BG247" s="21046"/>
      <c r="BH247" s="21046"/>
      <c r="BI247" s="21046"/>
      <c r="BJ247" s="21046"/>
      <c r="BK247" s="21047"/>
      <c r="BL247" s="21045"/>
      <c r="BM247" s="21046"/>
      <c r="BN247" s="21046"/>
      <c r="BO247" s="21046"/>
      <c r="BP247" s="21046"/>
      <c r="BQ247" s="21046"/>
      <c r="BR247" s="21047"/>
      <c r="BS247" s="21045"/>
      <c r="BT247" s="21046"/>
      <c r="BU247" s="21046"/>
      <c r="BV247" s="21046"/>
      <c r="BW247" s="21046"/>
      <c r="BX247" s="21046"/>
      <c r="BY247" s="21047"/>
      <c r="BZ247" s="21045"/>
      <c r="CA247" s="21046"/>
      <c r="CB247" s="21046"/>
      <c r="CC247" s="21046"/>
      <c r="CD247" s="21046"/>
      <c r="CE247" s="21046"/>
      <c r="CF247" s="21047"/>
      <c r="CG247" s="21045"/>
      <c r="CH247" s="21046"/>
      <c r="CI247" s="21046"/>
      <c r="CJ247" s="21046"/>
      <c r="CK247" s="21046"/>
      <c r="CL247" s="21046"/>
      <c r="CM247" s="21047"/>
      <c r="CN247" s="21045"/>
      <c r="CO247" s="21046"/>
      <c r="CP247" s="21046"/>
      <c r="CQ247" s="21046"/>
      <c r="CR247" s="21046"/>
      <c r="CS247" s="21046"/>
      <c r="CT247" s="21047"/>
      <c r="CU247" s="21047"/>
      <c r="CV247" s="21650" t="s">
        <v>621</v>
      </c>
      <c r="CW247" s="21281"/>
      <c r="CX247" s="21633"/>
      <c r="CY247" s="21633" t="str">
        <f>IF(T247="","",T247)</f>
        <v>Группа потребителей</v>
      </c>
      <c r="CZ247" s="21633"/>
      <c r="DA247" s="21633"/>
      <c r="DB247" s="21020">
        <v>0</v>
      </c>
    </row>
    <row s="57434" customFormat="1" customHeight="1" ht="23.25">
      <c r="A248" s="21621"/>
      <c r="B248" s="21621"/>
      <c r="C248" s="21621"/>
      <c r="D248" s="21621"/>
      <c r="E248" s="21622"/>
      <c r="F248" s="21622" t="s">
        <v>151</v>
      </c>
      <c r="G248" s="21622"/>
      <c r="H248" s="21622"/>
      <c r="I248" s="21647"/>
      <c r="J248" s="21647"/>
      <c r="K248" s="21638" t="str">
        <f>J247&amp;".1"</f>
        <v>1.12.1.1.1.1</v>
      </c>
      <c r="L248" s="21624"/>
      <c r="M248" s="21639"/>
      <c r="N248" s="21639"/>
      <c r="O248" s="21639"/>
      <c r="P248" s="21640"/>
      <c r="Q248" s="21640"/>
      <c r="R248" s="21648">
        <v>1</v>
      </c>
      <c r="S248" s="21629" t="str">
        <f>$K248</f>
        <v>1.12.1.1.1.1</v>
      </c>
      <c r="T248" s="21652"/>
      <c r="U248" s="21631"/>
      <c r="V248" s="21053"/>
      <c r="W248" s="21053"/>
      <c r="X248" s="21054"/>
      <c r="Y248" s="21055"/>
      <c r="Z248" s="21056" t="s">
        <v>63</v>
      </c>
      <c r="AA248" s="21055"/>
      <c r="AB248" s="21056" t="s">
        <v>63</v>
      </c>
      <c r="AC248" s="21053">
        <v>29.82</v>
      </c>
      <c r="AD248" s="21053"/>
      <c r="AE248" s="21054"/>
      <c r="AF248" s="57093">
        <v>45292.60555555556</v>
      </c>
      <c r="AG248" s="21056" t="s">
        <v>63</v>
      </c>
      <c r="AH248" s="57094">
        <v>45473.60539351852</v>
      </c>
      <c r="AI248" s="21056" t="s">
        <v>63</v>
      </c>
      <c r="AJ248" s="21053">
        <v>38.77</v>
      </c>
      <c r="AK248" s="21053"/>
      <c r="AL248" s="21054"/>
      <c r="AM248" s="57093">
        <v>45474.605219907404</v>
      </c>
      <c r="AN248" s="21056" t="s">
        <v>63</v>
      </c>
      <c r="AO248" s="57093">
        <v>45657.605104166665</v>
      </c>
      <c r="AP248" s="21056" t="s">
        <v>63</v>
      </c>
      <c r="AQ248" s="21053">
        <v>38.77</v>
      </c>
      <c r="AR248" s="21053"/>
      <c r="AS248" s="21054"/>
      <c r="AT248" s="57093">
        <v>45658.604837962965</v>
      </c>
      <c r="AU248" s="21056" t="s">
        <v>63</v>
      </c>
      <c r="AV248" s="57093">
        <v>45838.604363425926</v>
      </c>
      <c r="AW248" s="21056" t="s">
        <v>63</v>
      </c>
      <c r="AX248" s="21053">
        <v>47.3</v>
      </c>
      <c r="AY248" s="21053"/>
      <c r="AZ248" s="21054"/>
      <c r="BA248" s="57093">
        <v>45839.604166666664</v>
      </c>
      <c r="BB248" s="21056" t="s">
        <v>63</v>
      </c>
      <c r="BC248" s="57093">
        <v>46022.603993055556</v>
      </c>
      <c r="BD248" s="21056" t="s">
        <v>63</v>
      </c>
      <c r="BE248" s="21053">
        <v>47.3</v>
      </c>
      <c r="BF248" s="21053"/>
      <c r="BG248" s="21054"/>
      <c r="BH248" s="57093">
        <v>46023.60376157407</v>
      </c>
      <c r="BI248" s="21056" t="s">
        <v>63</v>
      </c>
      <c r="BJ248" s="57093">
        <v>46203.603414351855</v>
      </c>
      <c r="BK248" s="21056" t="s">
        <v>63</v>
      </c>
      <c r="BL248" s="21053">
        <v>50.14</v>
      </c>
      <c r="BM248" s="21053"/>
      <c r="BN248" s="21054"/>
      <c r="BO248" s="57093">
        <v>46204.60302083333</v>
      </c>
      <c r="BP248" s="21056" t="s">
        <v>63</v>
      </c>
      <c r="BQ248" s="57093">
        <v>46387.60293981482</v>
      </c>
      <c r="BR248" s="21056" t="s">
        <v>63</v>
      </c>
      <c r="BS248" s="21053">
        <v>50.14</v>
      </c>
      <c r="BT248" s="21053"/>
      <c r="BU248" s="21054"/>
      <c r="BV248" s="57093">
        <v>46388.60273148148</v>
      </c>
      <c r="BW248" s="21056" t="s">
        <v>63</v>
      </c>
      <c r="BX248" s="57093">
        <v>46568.60251157408</v>
      </c>
      <c r="BY248" s="21056" t="s">
        <v>63</v>
      </c>
      <c r="BZ248" s="21053">
        <v>52.64</v>
      </c>
      <c r="CA248" s="21053"/>
      <c r="CB248" s="21054"/>
      <c r="CC248" s="57093">
        <v>46569.60228009259</v>
      </c>
      <c r="CD248" s="21056" t="s">
        <v>63</v>
      </c>
      <c r="CE248" s="57093">
        <v>46752.60196759259</v>
      </c>
      <c r="CF248" s="21056" t="s">
        <v>63</v>
      </c>
      <c r="CG248" s="21053">
        <v>52.64</v>
      </c>
      <c r="CH248" s="21053"/>
      <c r="CI248" s="21054"/>
      <c r="CJ248" s="57093">
        <v>46753.601689814815</v>
      </c>
      <c r="CK248" s="21056" t="s">
        <v>63</v>
      </c>
      <c r="CL248" s="57093">
        <v>46934.60138888889</v>
      </c>
      <c r="CM248" s="21056" t="s">
        <v>63</v>
      </c>
      <c r="CN248" s="21053">
        <v>55.22</v>
      </c>
      <c r="CO248" s="21053"/>
      <c r="CP248" s="21054"/>
      <c r="CQ248" s="57093">
        <v>46935.60115740741</v>
      </c>
      <c r="CR248" s="21056" t="s">
        <v>63</v>
      </c>
      <c r="CS248" s="57093">
        <v>47118.600960648146</v>
      </c>
      <c r="CT248" s="21056" t="s">
        <v>63</v>
      </c>
      <c r="CU248" s="21653"/>
      <c r="CV24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48" s="21281">
        <f>STRCHECKDATE(V249:CU249)</f>
      </c>
      <c r="CX248" s="21633"/>
      <c r="CY248" s="21633" t="str">
        <f>IF(T248="","",T248)</f>
        <v/>
      </c>
      <c r="CZ248" s="21633"/>
      <c r="DA248" s="21633"/>
      <c r="DB248" s="21020">
        <v>0</v>
      </c>
    </row>
    <row s="57435" customFormat="1" customHeight="1" ht="14.25">
      <c r="A249" s="21621"/>
      <c r="B249" s="21621"/>
      <c r="C249" s="21621"/>
      <c r="D249" s="21621"/>
      <c r="E249" s="21622"/>
      <c r="F249" s="21622" t="s">
        <v>151</v>
      </c>
      <c r="G249" s="21622"/>
      <c r="H249" s="21622"/>
      <c r="I249" s="21647"/>
      <c r="J249" s="21647"/>
      <c r="K249" s="21638"/>
      <c r="L249" s="21624"/>
      <c r="M249" s="21639"/>
      <c r="N249" s="21639"/>
      <c r="O249" s="21639"/>
      <c r="P249" s="21640"/>
      <c r="Q249" s="21640"/>
      <c r="R249" s="21648"/>
      <c r="S249" s="21656"/>
      <c r="T249" s="21631"/>
      <c r="U249" s="21631"/>
      <c r="V249" s="21063"/>
      <c r="W249" s="21063"/>
      <c r="X249" s="21064" t="str">
        <f>Y248&amp;"-"&amp;AA248</f>
        <v>-</v>
      </c>
      <c r="Y249" s="21065"/>
      <c r="Z249" s="21056"/>
      <c r="AA249" s="21065"/>
      <c r="AB249" s="21056"/>
      <c r="AC249" s="21063"/>
      <c r="AD249" s="21063"/>
      <c r="AE249" s="21064" t="str">
        <f>AF248&amp;"-"&amp;AH248</f>
        <v>45292.60555555556-45473.60539351852</v>
      </c>
      <c r="AF249" s="21065"/>
      <c r="AG249" s="21056"/>
      <c r="AH249" s="21324"/>
      <c r="AI249" s="21056"/>
      <c r="AJ249" s="21063"/>
      <c r="AK249" s="21063"/>
      <c r="AL249" s="21064" t="str">
        <f>AM248&amp;"-"&amp;AO248</f>
        <v>45474.605219907404-45657.605104166665</v>
      </c>
      <c r="AM249" s="21065"/>
      <c r="AN249" s="21056"/>
      <c r="AO249" s="21065"/>
      <c r="AP249" s="21056"/>
      <c r="AQ249" s="21063"/>
      <c r="AR249" s="21063"/>
      <c r="AS249" s="21064" t="str">
        <f>AT248&amp;"-"&amp;AV248</f>
        <v>45658.604837962965-45838.604363425926</v>
      </c>
      <c r="AT249" s="21065"/>
      <c r="AU249" s="21056"/>
      <c r="AV249" s="21065"/>
      <c r="AW249" s="21056"/>
      <c r="AX249" s="21063"/>
      <c r="AY249" s="21063"/>
      <c r="AZ249" s="21064" t="str">
        <f>BA248&amp;"-"&amp;BC248</f>
        <v>45839.604166666664-46022.603993055556</v>
      </c>
      <c r="BA249" s="21065"/>
      <c r="BB249" s="21056"/>
      <c r="BC249" s="21065"/>
      <c r="BD249" s="21056"/>
      <c r="BE249" s="21063"/>
      <c r="BF249" s="21063"/>
      <c r="BG249" s="21064" t="str">
        <f>BH248&amp;"-"&amp;BJ248</f>
        <v>46023.60376157407-46203.603414351855</v>
      </c>
      <c r="BH249" s="21065"/>
      <c r="BI249" s="21056"/>
      <c r="BJ249" s="21065"/>
      <c r="BK249" s="21056"/>
      <c r="BL249" s="21063"/>
      <c r="BM249" s="21063"/>
      <c r="BN249" s="21064" t="str">
        <f>BO248&amp;"-"&amp;BQ248</f>
        <v>46204.60302083333-46387.60293981482</v>
      </c>
      <c r="BO249" s="21065"/>
      <c r="BP249" s="21056"/>
      <c r="BQ249" s="21065"/>
      <c r="BR249" s="21056"/>
      <c r="BS249" s="21063"/>
      <c r="BT249" s="21063"/>
      <c r="BU249" s="21064" t="str">
        <f>BV248&amp;"-"&amp;BX248</f>
        <v>46388.60273148148-46568.60251157408</v>
      </c>
      <c r="BV249" s="21065"/>
      <c r="BW249" s="21056"/>
      <c r="BX249" s="21065"/>
      <c r="BY249" s="21056"/>
      <c r="BZ249" s="21063"/>
      <c r="CA249" s="21063"/>
      <c r="CB249" s="21064" t="str">
        <f>CC248&amp;"-"&amp;CE248</f>
        <v>46569.60228009259-46752.60196759259</v>
      </c>
      <c r="CC249" s="21065"/>
      <c r="CD249" s="21056"/>
      <c r="CE249" s="21065"/>
      <c r="CF249" s="21056"/>
      <c r="CG249" s="21063"/>
      <c r="CH249" s="21063"/>
      <c r="CI249" s="21064" t="str">
        <f>CJ248&amp;"-"&amp;CL248</f>
        <v>46753.601689814815-46934.60138888889</v>
      </c>
      <c r="CJ249" s="21065"/>
      <c r="CK249" s="21056"/>
      <c r="CL249" s="21065"/>
      <c r="CM249" s="21056"/>
      <c r="CN249" s="21063"/>
      <c r="CO249" s="21063"/>
      <c r="CP249" s="21064" t="str">
        <f>CQ248&amp;"-"&amp;CS248</f>
        <v>46935.60115740741-47118.600960648146</v>
      </c>
      <c r="CQ249" s="21065"/>
      <c r="CR249" s="21056"/>
      <c r="CS249" s="21065"/>
      <c r="CT249" s="21056"/>
      <c r="CU249" s="21657"/>
      <c r="CV249" s="21654"/>
      <c r="CW249" s="21281"/>
      <c r="CX249" s="21633"/>
      <c r="CY249" s="21633" t="str">
        <f>IF(T249="","",T249)</f>
        <v/>
      </c>
      <c r="CZ249" s="21633"/>
      <c r="DA249" s="21633"/>
      <c r="DB249" s="21020">
        <v>0</v>
      </c>
    </row>
    <row s="57436" customFormat="1" customHeight="1" ht="21">
      <c r="A250" s="21621"/>
      <c r="B250" s="21621"/>
      <c r="C250" s="21621"/>
      <c r="D250" s="21621"/>
      <c r="E250" s="21622"/>
      <c r="F250" s="21622" t="s">
        <v>151</v>
      </c>
      <c r="G250" s="21622"/>
      <c r="H250" s="21622"/>
      <c r="I250" s="21647"/>
      <c r="J250" s="21638"/>
      <c r="K250" s="21621"/>
      <c r="L250" s="21624"/>
      <c r="M250" s="21639"/>
      <c r="N250" s="21639"/>
      <c r="O250" s="21639"/>
      <c r="P250" s="21640"/>
      <c r="Q250" s="21640"/>
      <c r="R250" s="21641"/>
      <c r="S250" s="25742"/>
      <c r="T250" s="25743" t="s">
        <v>622</v>
      </c>
      <c r="U250" s="25744"/>
      <c r="V250" s="25745"/>
      <c r="W250" s="25746"/>
      <c r="X250" s="25747"/>
      <c r="Y250" s="25748"/>
      <c r="Z250" s="25749"/>
      <c r="AA250" s="25750"/>
      <c r="AB250" s="25751"/>
      <c r="AC250" s="25752"/>
      <c r="AD250" s="25753"/>
      <c r="AE250" s="25754"/>
      <c r="AF250" s="25755"/>
      <c r="AG250" s="25756"/>
      <c r="AH250" s="25757"/>
      <c r="AI250" s="25758"/>
      <c r="AJ250" s="25759"/>
      <c r="AK250" s="25760"/>
      <c r="AL250" s="25761"/>
      <c r="AM250" s="25762"/>
      <c r="AN250" s="25763"/>
      <c r="AO250" s="25764"/>
      <c r="AP250" s="25765"/>
      <c r="AQ250" s="25766"/>
      <c r="AR250" s="25767"/>
      <c r="AS250" s="25768"/>
      <c r="AT250" s="25769"/>
      <c r="AU250" s="25770"/>
      <c r="AV250" s="25771"/>
      <c r="AW250" s="25772"/>
      <c r="AX250" s="25773"/>
      <c r="AY250" s="25774"/>
      <c r="AZ250" s="25775"/>
      <c r="BA250" s="25776"/>
      <c r="BB250" s="25777"/>
      <c r="BC250" s="25778"/>
      <c r="BD250" s="25779"/>
      <c r="BE250" s="25780"/>
      <c r="BF250" s="25781"/>
      <c r="BG250" s="25782"/>
      <c r="BH250" s="25783"/>
      <c r="BI250" s="25784"/>
      <c r="BJ250" s="25785"/>
      <c r="BK250" s="25786"/>
      <c r="BL250" s="25787"/>
      <c r="BM250" s="25788"/>
      <c r="BN250" s="25789"/>
      <c r="BO250" s="25790"/>
      <c r="BP250" s="25791"/>
      <c r="BQ250" s="25792"/>
      <c r="BR250" s="25793"/>
      <c r="BS250" s="25794"/>
      <c r="BT250" s="25795"/>
      <c r="BU250" s="25796"/>
      <c r="BV250" s="25797"/>
      <c r="BW250" s="25798"/>
      <c r="BX250" s="25799"/>
      <c r="BY250" s="25800"/>
      <c r="BZ250" s="25801"/>
      <c r="CA250" s="25802"/>
      <c r="CB250" s="25803"/>
      <c r="CC250" s="25804"/>
      <c r="CD250" s="25805"/>
      <c r="CE250" s="25806"/>
      <c r="CF250" s="25807"/>
      <c r="CG250" s="25808"/>
      <c r="CH250" s="25809"/>
      <c r="CI250" s="25810"/>
      <c r="CJ250" s="25811"/>
      <c r="CK250" s="25812"/>
      <c r="CL250" s="25813"/>
      <c r="CM250" s="25814"/>
      <c r="CN250" s="25815"/>
      <c r="CO250" s="25816"/>
      <c r="CP250" s="25817"/>
      <c r="CQ250" s="25818"/>
      <c r="CR250" s="25819"/>
      <c r="CS250" s="25820"/>
      <c r="CT250" s="25821"/>
      <c r="CU250" s="25822"/>
      <c r="CV250" s="21632" t="s">
        <v>623</v>
      </c>
      <c r="CW250" s="21281"/>
      <c r="CX250" s="21633"/>
      <c r="CY250" s="21633" t="str">
        <f>IF(T250="","",T250)</f>
        <v>Добавить значение признака дифференциации</v>
      </c>
      <c r="CZ250" s="21633"/>
      <c r="DA250" s="21633"/>
      <c r="DB250" s="21020">
        <v>0</v>
      </c>
    </row>
    <row s="57518" customFormat="1" customHeight="1" ht="23.25">
      <c r="A251" s="33106"/>
      <c r="B251" s="33106"/>
      <c r="C251" s="33106"/>
      <c r="D251" s="33106"/>
      <c r="E251" s="33107"/>
      <c r="F251" s="33107"/>
      <c r="G251" s="33107"/>
      <c r="H251" s="33107"/>
      <c r="I251" s="33108"/>
      <c r="J251" s="33109" t="str">
        <f>I246&amp;".2"</f>
        <v>1.12.1.1.2</v>
      </c>
      <c r="K251" s="33106"/>
      <c r="L251" s="33110" t="s">
        <v>545</v>
      </c>
      <c r="M251" s="33111"/>
      <c r="N251" s="33111"/>
      <c r="O251" s="33111"/>
      <c r="P251" s="33112"/>
      <c r="Q251" s="33113" t="s">
        <v>106</v>
      </c>
      <c r="R251" s="33114"/>
      <c r="S251" s="33115" t="str">
        <f>$J251</f>
        <v>1.12.1.1.2</v>
      </c>
      <c r="T251" s="33116" t="s">
        <v>546</v>
      </c>
      <c r="U251" s="33117"/>
      <c r="V251" s="33118"/>
      <c r="W251" s="33119"/>
      <c r="X251" s="33119"/>
      <c r="Y251" s="33119"/>
      <c r="Z251" s="33119"/>
      <c r="AA251" s="33119"/>
      <c r="AB251" s="33120"/>
      <c r="AC251" s="33118" t="s">
        <v>633</v>
      </c>
      <c r="AD251" s="33119"/>
      <c r="AE251" s="33119"/>
      <c r="AF251" s="33119"/>
      <c r="AG251" s="33119"/>
      <c r="AH251" s="33119"/>
      <c r="AI251" s="33119"/>
      <c r="AJ251" s="33118"/>
      <c r="AK251" s="33119"/>
      <c r="AL251" s="33119"/>
      <c r="AM251" s="33119"/>
      <c r="AN251" s="33119"/>
      <c r="AO251" s="33119"/>
      <c r="AP251" s="33120"/>
      <c r="AQ251" s="33118"/>
      <c r="AR251" s="33119"/>
      <c r="AS251" s="33119"/>
      <c r="AT251" s="33119"/>
      <c r="AU251" s="33119"/>
      <c r="AV251" s="33119"/>
      <c r="AW251" s="33120"/>
      <c r="AX251" s="33118"/>
      <c r="AY251" s="33119"/>
      <c r="AZ251" s="33119"/>
      <c r="BA251" s="33119"/>
      <c r="BB251" s="33119"/>
      <c r="BC251" s="33119"/>
      <c r="BD251" s="33120"/>
      <c r="BE251" s="33118"/>
      <c r="BF251" s="33119"/>
      <c r="BG251" s="33119"/>
      <c r="BH251" s="33119"/>
      <c r="BI251" s="33119"/>
      <c r="BJ251" s="33119"/>
      <c r="BK251" s="33120"/>
      <c r="BL251" s="33118"/>
      <c r="BM251" s="33119"/>
      <c r="BN251" s="33119"/>
      <c r="BO251" s="33119"/>
      <c r="BP251" s="33119"/>
      <c r="BQ251" s="33119"/>
      <c r="BR251" s="33120"/>
      <c r="BS251" s="33118"/>
      <c r="BT251" s="33119"/>
      <c r="BU251" s="33119"/>
      <c r="BV251" s="33119"/>
      <c r="BW251" s="33119"/>
      <c r="BX251" s="33119"/>
      <c r="BY251" s="33120"/>
      <c r="BZ251" s="33118"/>
      <c r="CA251" s="33119"/>
      <c r="CB251" s="33119"/>
      <c r="CC251" s="33119"/>
      <c r="CD251" s="33119"/>
      <c r="CE251" s="33119"/>
      <c r="CF251" s="33120"/>
      <c r="CG251" s="33118"/>
      <c r="CH251" s="33119"/>
      <c r="CI251" s="33119"/>
      <c r="CJ251" s="33119"/>
      <c r="CK251" s="33119"/>
      <c r="CL251" s="33119"/>
      <c r="CM251" s="33120"/>
      <c r="CN251" s="33118"/>
      <c r="CO251" s="33119"/>
      <c r="CP251" s="33119"/>
      <c r="CQ251" s="33119"/>
      <c r="CR251" s="33119"/>
      <c r="CS251" s="33119"/>
      <c r="CT251" s="33121"/>
      <c r="CU251" s="33120"/>
      <c r="CV251" s="33122" t="s">
        <v>621</v>
      </c>
      <c r="CW251" s="33123"/>
      <c r="CX251" s="33124"/>
      <c r="CY251" s="33124" t="str">
        <f>IF(T251="","",T251)</f>
        <v>Группа потребителей</v>
      </c>
      <c r="CZ251" s="33124"/>
      <c r="DA251" s="33124"/>
      <c r="DB251" s="33125">
        <v>0</v>
      </c>
    </row>
    <row s="57519" customFormat="1" customHeight="1" ht="23.25">
      <c r="A252" s="33106"/>
      <c r="B252" s="33106"/>
      <c r="C252" s="33106"/>
      <c r="D252" s="33106"/>
      <c r="E252" s="33107"/>
      <c r="F252" s="33107"/>
      <c r="G252" s="33107"/>
      <c r="H252" s="33107"/>
      <c r="I252" s="33108"/>
      <c r="J252" s="33108" t="str">
        <f>I246&amp;".1"</f>
        <v>1.12.1.1.1</v>
      </c>
      <c r="K252" s="33109" t="str">
        <f>J251&amp;".1"</f>
        <v>1.12.1.1.2.1</v>
      </c>
      <c r="L252" s="33110"/>
      <c r="M252" s="33111"/>
      <c r="N252" s="33111"/>
      <c r="O252" s="33111"/>
      <c r="P252" s="33112"/>
      <c r="Q252" s="33112"/>
      <c r="R252" s="33114">
        <v>1</v>
      </c>
      <c r="S252" s="33115" t="str">
        <f>$K252</f>
        <v>1.12.1.1.2.1</v>
      </c>
      <c r="T252" s="33127"/>
      <c r="U252" s="33117"/>
      <c r="V252" s="33128"/>
      <c r="W252" s="33128"/>
      <c r="X252" s="33129"/>
      <c r="Y252" s="33020"/>
      <c r="Z252" s="33130" t="s">
        <v>63</v>
      </c>
      <c r="AA252" s="33020"/>
      <c r="AB252" s="33130" t="s">
        <v>63</v>
      </c>
      <c r="AC252" s="33128">
        <v>24.85</v>
      </c>
      <c r="AD252" s="33128"/>
      <c r="AE252" s="33129"/>
      <c r="AF252" s="57093">
        <v>45292.605474537035</v>
      </c>
      <c r="AG252" s="33130" t="s">
        <v>63</v>
      </c>
      <c r="AH252" s="57094">
        <v>45473.60532407407</v>
      </c>
      <c r="AI252" s="33130" t="s">
        <v>63</v>
      </c>
      <c r="AJ252" s="33128">
        <v>32.31</v>
      </c>
      <c r="AK252" s="33128"/>
      <c r="AL252" s="33129"/>
      <c r="AM252" s="57093">
        <v>45474.60513888889</v>
      </c>
      <c r="AN252" s="33130" t="s">
        <v>63</v>
      </c>
      <c r="AO252" s="57093">
        <v>45657.605046296296</v>
      </c>
      <c r="AP252" s="33130" t="s">
        <v>63</v>
      </c>
      <c r="AQ252" s="33128">
        <v>32.31</v>
      </c>
      <c r="AR252" s="33128"/>
      <c r="AS252" s="33129"/>
      <c r="AT252" s="57093">
        <v>45658.604733796295</v>
      </c>
      <c r="AU252" s="33130" t="s">
        <v>63</v>
      </c>
      <c r="AV252" s="57093">
        <v>45838.60429398148</v>
      </c>
      <c r="AW252" s="33130" t="s">
        <v>63</v>
      </c>
      <c r="AX252" s="33128">
        <v>39.42</v>
      </c>
      <c r="AY252" s="33128"/>
      <c r="AZ252" s="33129"/>
      <c r="BA252" s="57093">
        <v>45839.6040625</v>
      </c>
      <c r="BB252" s="33130" t="s">
        <v>63</v>
      </c>
      <c r="BC252" s="57093">
        <v>46022.60393518519</v>
      </c>
      <c r="BD252" s="33130" t="s">
        <v>63</v>
      </c>
      <c r="BE252" s="33128">
        <v>39.42</v>
      </c>
      <c r="BF252" s="33128"/>
      <c r="BG252" s="33129"/>
      <c r="BH252" s="57093">
        <v>46023.60361111111</v>
      </c>
      <c r="BI252" s="33130" t="s">
        <v>63</v>
      </c>
      <c r="BJ252" s="57093">
        <v>46203.60329861111</v>
      </c>
      <c r="BK252" s="33130" t="s">
        <v>63</v>
      </c>
      <c r="BL252" s="33128">
        <v>41.78</v>
      </c>
      <c r="BM252" s="33128"/>
      <c r="BN252" s="33129"/>
      <c r="BO252" s="57093">
        <v>46204.60318287037</v>
      </c>
      <c r="BP252" s="33130" t="s">
        <v>63</v>
      </c>
      <c r="BQ252" s="57093">
        <v>46387.60288194445</v>
      </c>
      <c r="BR252" s="33130" t="s">
        <v>63</v>
      </c>
      <c r="BS252" s="33128">
        <v>41.78</v>
      </c>
      <c r="BT252" s="33128"/>
      <c r="BU252" s="33129"/>
      <c r="BV252" s="57093">
        <v>46388.60261574074</v>
      </c>
      <c r="BW252" s="33130" t="s">
        <v>63</v>
      </c>
      <c r="BX252" s="57093">
        <v>46568.60239583333</v>
      </c>
      <c r="BY252" s="33130" t="s">
        <v>63</v>
      </c>
      <c r="BZ252" s="33128">
        <v>43.87</v>
      </c>
      <c r="CA252" s="33128"/>
      <c r="CB252" s="33129"/>
      <c r="CC252" s="57093">
        <v>46569.602175925924</v>
      </c>
      <c r="CD252" s="33130" t="s">
        <v>63</v>
      </c>
      <c r="CE252" s="57093">
        <v>46752.60209490741</v>
      </c>
      <c r="CF252" s="33130" t="s">
        <v>63</v>
      </c>
      <c r="CG252" s="33128">
        <v>43.87</v>
      </c>
      <c r="CH252" s="33128"/>
      <c r="CI252" s="33129"/>
      <c r="CJ252" s="57093">
        <v>46753.60150462963</v>
      </c>
      <c r="CK252" s="33130" t="s">
        <v>63</v>
      </c>
      <c r="CL252" s="57093">
        <v>46934.601273148146</v>
      </c>
      <c r="CM252" s="33130" t="s">
        <v>63</v>
      </c>
      <c r="CN252" s="33128">
        <v>46.02</v>
      </c>
      <c r="CO252" s="33128"/>
      <c r="CP252" s="33129"/>
      <c r="CQ252" s="57093">
        <v>46935.60105324074</v>
      </c>
      <c r="CR252" s="33130" t="s">
        <v>63</v>
      </c>
      <c r="CS252" s="57093">
        <v>47118.60087962963</v>
      </c>
      <c r="CT252" s="33131" t="s">
        <v>63</v>
      </c>
      <c r="CU252" s="33132"/>
      <c r="CV252"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2" s="33123">
        <f>STRCHECKDATE(V253:CU253)</f>
      </c>
      <c r="CX252" s="33124"/>
      <c r="CY252" s="33124" t="str">
        <f>IF(T252="","",T252)</f>
        <v/>
      </c>
      <c r="CZ252" s="33124"/>
      <c r="DA252" s="33124"/>
      <c r="DB252" s="33125">
        <v>0</v>
      </c>
    </row>
    <row s="57520" customFormat="1" customHeight="1" ht="14.25">
      <c r="A253" s="33106"/>
      <c r="B253" s="33106"/>
      <c r="C253" s="33106"/>
      <c r="D253" s="33106"/>
      <c r="E253" s="33107"/>
      <c r="F253" s="33107"/>
      <c r="G253" s="33107"/>
      <c r="H253" s="33107"/>
      <c r="I253" s="33108"/>
      <c r="J253" s="33108" t="str">
        <f>I246&amp;".1"</f>
        <v>1.12.1.1.1</v>
      </c>
      <c r="K253" s="33109"/>
      <c r="L253" s="33110"/>
      <c r="M253" s="33111"/>
      <c r="N253" s="33111"/>
      <c r="O253" s="33111"/>
      <c r="P253" s="33112"/>
      <c r="Q253" s="33112"/>
      <c r="R253" s="33114"/>
      <c r="S253" s="33135"/>
      <c r="T253" s="33117"/>
      <c r="U253" s="33117"/>
      <c r="V253" s="33136"/>
      <c r="W253" s="33136"/>
      <c r="X253" s="33137" t="str">
        <f>Y252&amp;"-"&amp;AA252</f>
        <v>-</v>
      </c>
      <c r="Y253" s="33138"/>
      <c r="Z253" s="33130"/>
      <c r="AA253" s="33138"/>
      <c r="AB253" s="33130"/>
      <c r="AC253" s="33136"/>
      <c r="AD253" s="33136"/>
      <c r="AE253" s="33137" t="str">
        <f>AF252&amp;"-"&amp;AH252</f>
        <v>45292.605474537035-45473.60532407407</v>
      </c>
      <c r="AF253" s="33138"/>
      <c r="AG253" s="33130"/>
      <c r="AH253" s="33139"/>
      <c r="AI253" s="33130"/>
      <c r="AJ253" s="33136"/>
      <c r="AK253" s="33136"/>
      <c r="AL253" s="33137" t="str">
        <f>AM252&amp;"-"&amp;AO252</f>
        <v>45474.60513888889-45657.605046296296</v>
      </c>
      <c r="AM253" s="33138"/>
      <c r="AN253" s="33130"/>
      <c r="AO253" s="33138"/>
      <c r="AP253" s="33130"/>
      <c r="AQ253" s="33136"/>
      <c r="AR253" s="33136"/>
      <c r="AS253" s="33137" t="str">
        <f>AT252&amp;"-"&amp;AV252</f>
        <v>45658.604733796295-45838.60429398148</v>
      </c>
      <c r="AT253" s="33138"/>
      <c r="AU253" s="33130"/>
      <c r="AV253" s="33138"/>
      <c r="AW253" s="33130"/>
      <c r="AX253" s="33136"/>
      <c r="AY253" s="33136"/>
      <c r="AZ253" s="33137" t="str">
        <f>BA252&amp;"-"&amp;BC252</f>
        <v>45839.6040625-46022.60393518519</v>
      </c>
      <c r="BA253" s="33138"/>
      <c r="BB253" s="33130"/>
      <c r="BC253" s="33138"/>
      <c r="BD253" s="33130"/>
      <c r="BE253" s="33136"/>
      <c r="BF253" s="33136"/>
      <c r="BG253" s="33137" t="str">
        <f>BH252&amp;"-"&amp;BJ252</f>
        <v>46023.60361111111-46203.60329861111</v>
      </c>
      <c r="BH253" s="33138"/>
      <c r="BI253" s="33130"/>
      <c r="BJ253" s="33138"/>
      <c r="BK253" s="33130"/>
      <c r="BL253" s="33136"/>
      <c r="BM253" s="33136"/>
      <c r="BN253" s="33137" t="str">
        <f>BO252&amp;"-"&amp;BQ252</f>
        <v>46204.60318287037-46387.60288194445</v>
      </c>
      <c r="BO253" s="33138"/>
      <c r="BP253" s="33130"/>
      <c r="BQ253" s="33138"/>
      <c r="BR253" s="33130"/>
      <c r="BS253" s="33136"/>
      <c r="BT253" s="33136"/>
      <c r="BU253" s="33137" t="str">
        <f>BV252&amp;"-"&amp;BX252</f>
        <v>46388.60261574074-46568.60239583333</v>
      </c>
      <c r="BV253" s="33138"/>
      <c r="BW253" s="33130"/>
      <c r="BX253" s="33138"/>
      <c r="BY253" s="33130"/>
      <c r="BZ253" s="33136"/>
      <c r="CA253" s="33136"/>
      <c r="CB253" s="33137" t="str">
        <f>CC252&amp;"-"&amp;CE252</f>
        <v>46569.602175925924-46752.60209490741</v>
      </c>
      <c r="CC253" s="33138"/>
      <c r="CD253" s="33130"/>
      <c r="CE253" s="33138"/>
      <c r="CF253" s="33130"/>
      <c r="CG253" s="33136"/>
      <c r="CH253" s="33136"/>
      <c r="CI253" s="33137" t="str">
        <f>CJ252&amp;"-"&amp;CL252</f>
        <v>46753.60150462963-46934.601273148146</v>
      </c>
      <c r="CJ253" s="33138"/>
      <c r="CK253" s="33130"/>
      <c r="CL253" s="33138"/>
      <c r="CM253" s="33130"/>
      <c r="CN253" s="33136"/>
      <c r="CO253" s="33136"/>
      <c r="CP253" s="33137" t="str">
        <f>CQ252&amp;"-"&amp;CS252</f>
        <v>46935.60105324074-47118.60087962963</v>
      </c>
      <c r="CQ253" s="33138"/>
      <c r="CR253" s="33130"/>
      <c r="CS253" s="33138"/>
      <c r="CT253" s="33131"/>
      <c r="CU253" s="33140"/>
      <c r="CV253" s="33133"/>
      <c r="CW253" s="33123"/>
      <c r="CX253" s="33124"/>
      <c r="CY253" s="33124" t="str">
        <f>IF(T253="","",T253)</f>
        <v/>
      </c>
      <c r="CZ253" s="33124"/>
      <c r="DA253" s="33124"/>
      <c r="DB253" s="33125">
        <v>0</v>
      </c>
    </row>
    <row s="57521" customFormat="1" customHeight="1" ht="21">
      <c r="A254" s="33106"/>
      <c r="B254" s="33106"/>
      <c r="C254" s="33106"/>
      <c r="D254" s="33106"/>
      <c r="E254" s="33107"/>
      <c r="F254" s="33107"/>
      <c r="G254" s="33107"/>
      <c r="H254" s="33107"/>
      <c r="I254" s="33108"/>
      <c r="J254" s="33109" t="str">
        <f>I246&amp;".1"</f>
        <v>1.12.1.1.1</v>
      </c>
      <c r="K254" s="33106"/>
      <c r="L254" s="33110"/>
      <c r="M254" s="33111"/>
      <c r="N254" s="33111"/>
      <c r="O254" s="33111"/>
      <c r="P254" s="33112"/>
      <c r="Q254" s="33112"/>
      <c r="R254" s="33142"/>
      <c r="S254" s="35862"/>
      <c r="T254" s="35863" t="s">
        <v>622</v>
      </c>
      <c r="U254" s="35864"/>
      <c r="V254" s="35865"/>
      <c r="W254" s="35866"/>
      <c r="X254" s="35867"/>
      <c r="Y254" s="35868"/>
      <c r="Z254" s="35869"/>
      <c r="AA254" s="35870"/>
      <c r="AB254" s="35871"/>
      <c r="AC254" s="35872"/>
      <c r="AD254" s="35873"/>
      <c r="AE254" s="35874"/>
      <c r="AF254" s="35875"/>
      <c r="AG254" s="35876"/>
      <c r="AH254" s="35877"/>
      <c r="AI254" s="35878"/>
      <c r="AJ254" s="35879"/>
      <c r="AK254" s="35880"/>
      <c r="AL254" s="35881"/>
      <c r="AM254" s="35882"/>
      <c r="AN254" s="35883"/>
      <c r="AO254" s="35884"/>
      <c r="AP254" s="35885"/>
      <c r="AQ254" s="35886"/>
      <c r="AR254" s="35887"/>
      <c r="AS254" s="35888"/>
      <c r="AT254" s="35889"/>
      <c r="AU254" s="35890"/>
      <c r="AV254" s="35891"/>
      <c r="AW254" s="35892"/>
      <c r="AX254" s="35893"/>
      <c r="AY254" s="35894"/>
      <c r="AZ254" s="35895"/>
      <c r="BA254" s="35896"/>
      <c r="BB254" s="35897"/>
      <c r="BC254" s="35898"/>
      <c r="BD254" s="35899"/>
      <c r="BE254" s="35900"/>
      <c r="BF254" s="35901"/>
      <c r="BG254" s="35902"/>
      <c r="BH254" s="35903"/>
      <c r="BI254" s="35904"/>
      <c r="BJ254" s="35905"/>
      <c r="BK254" s="35906"/>
      <c r="BL254" s="35907"/>
      <c r="BM254" s="35908"/>
      <c r="BN254" s="35909"/>
      <c r="BO254" s="35910"/>
      <c r="BP254" s="35911"/>
      <c r="BQ254" s="35912"/>
      <c r="BR254" s="35913"/>
      <c r="BS254" s="35914"/>
      <c r="BT254" s="35915"/>
      <c r="BU254" s="35916"/>
      <c r="BV254" s="35917"/>
      <c r="BW254" s="35918"/>
      <c r="BX254" s="35919"/>
      <c r="BY254" s="35920"/>
      <c r="BZ254" s="35921"/>
      <c r="CA254" s="35922"/>
      <c r="CB254" s="35923"/>
      <c r="CC254" s="35924"/>
      <c r="CD254" s="35925"/>
      <c r="CE254" s="35926"/>
      <c r="CF254" s="35927"/>
      <c r="CG254" s="35928"/>
      <c r="CH254" s="35929"/>
      <c r="CI254" s="35930"/>
      <c r="CJ254" s="35931"/>
      <c r="CK254" s="35932"/>
      <c r="CL254" s="35933"/>
      <c r="CM254" s="35934"/>
      <c r="CN254" s="35935"/>
      <c r="CO254" s="35936"/>
      <c r="CP254" s="35937"/>
      <c r="CQ254" s="35938"/>
      <c r="CR254" s="35939"/>
      <c r="CS254" s="35940"/>
      <c r="CT254" s="35941"/>
      <c r="CU254" s="35942"/>
      <c r="CV254" s="33224" t="s">
        <v>623</v>
      </c>
      <c r="CW254" s="33123"/>
      <c r="CX254" s="33124"/>
      <c r="CY254" s="33124" t="str">
        <f>IF(T254="","",T254)</f>
        <v>Добавить значение признака дифференциации</v>
      </c>
      <c r="CZ254" s="33124"/>
      <c r="DA254" s="33124"/>
      <c r="DB254" s="33125">
        <v>0</v>
      </c>
    </row>
    <row s="57603" customFormat="1" customHeight="1" ht="21">
      <c r="A255" s="21621"/>
      <c r="B255" s="21621"/>
      <c r="C255" s="21621"/>
      <c r="D255" s="21621"/>
      <c r="E255" s="21622"/>
      <c r="F255" s="21622" t="s">
        <v>151</v>
      </c>
      <c r="G255" s="21622"/>
      <c r="H255" s="21622"/>
      <c r="I255" s="21638"/>
      <c r="J255" s="21621"/>
      <c r="K255" s="21621"/>
      <c r="L255" s="21624"/>
      <c r="M255" s="21639"/>
      <c r="N255" s="21639"/>
      <c r="O255" s="21639"/>
      <c r="P255" s="21640"/>
      <c r="Q255" s="21640"/>
      <c r="R255" s="21641"/>
      <c r="S255" s="25824"/>
      <c r="T255" s="25825" t="s">
        <v>551</v>
      </c>
      <c r="U255" s="25826"/>
      <c r="V255" s="25827"/>
      <c r="W255" s="25828"/>
      <c r="X255" s="25829"/>
      <c r="Y255" s="25830"/>
      <c r="Z255" s="25831"/>
      <c r="AA255" s="25832"/>
      <c r="AB255" s="25833"/>
      <c r="AC255" s="25834"/>
      <c r="AD255" s="25835"/>
      <c r="AE255" s="25836"/>
      <c r="AF255" s="25837"/>
      <c r="AG255" s="25838"/>
      <c r="AH255" s="25839"/>
      <c r="AI255" s="25840"/>
      <c r="AJ255" s="25841"/>
      <c r="AK255" s="25842"/>
      <c r="AL255" s="25843"/>
      <c r="AM255" s="25844"/>
      <c r="AN255" s="25845"/>
      <c r="AO255" s="25846"/>
      <c r="AP255" s="25847"/>
      <c r="AQ255" s="25848"/>
      <c r="AR255" s="25849"/>
      <c r="AS255" s="25850"/>
      <c r="AT255" s="25851"/>
      <c r="AU255" s="25852"/>
      <c r="AV255" s="25853"/>
      <c r="AW255" s="25854"/>
      <c r="AX255" s="25855"/>
      <c r="AY255" s="25856"/>
      <c r="AZ255" s="25857"/>
      <c r="BA255" s="25858"/>
      <c r="BB255" s="25859"/>
      <c r="BC255" s="25860"/>
      <c r="BD255" s="25861"/>
      <c r="BE255" s="25862"/>
      <c r="BF255" s="25863"/>
      <c r="BG255" s="25864"/>
      <c r="BH255" s="25865"/>
      <c r="BI255" s="25866"/>
      <c r="BJ255" s="25867"/>
      <c r="BK255" s="25868"/>
      <c r="BL255" s="25869"/>
      <c r="BM255" s="25870"/>
      <c r="BN255" s="25871"/>
      <c r="BO255" s="25872"/>
      <c r="BP255" s="25873"/>
      <c r="BQ255" s="25874"/>
      <c r="BR255" s="25875"/>
      <c r="BS255" s="25876"/>
      <c r="BT255" s="25877"/>
      <c r="BU255" s="25878"/>
      <c r="BV255" s="25879"/>
      <c r="BW255" s="25880"/>
      <c r="BX255" s="25881"/>
      <c r="BY255" s="25882"/>
      <c r="BZ255" s="25883"/>
      <c r="CA255" s="25884"/>
      <c r="CB255" s="25885"/>
      <c r="CC255" s="25886"/>
      <c r="CD255" s="25887"/>
      <c r="CE255" s="25888"/>
      <c r="CF255" s="25889"/>
      <c r="CG255" s="25890"/>
      <c r="CH255" s="25891"/>
      <c r="CI255" s="25892"/>
      <c r="CJ255" s="25893"/>
      <c r="CK255" s="25894"/>
      <c r="CL255" s="25895"/>
      <c r="CM255" s="25896"/>
      <c r="CN255" s="25897"/>
      <c r="CO255" s="25898"/>
      <c r="CP255" s="25899"/>
      <c r="CQ255" s="25900"/>
      <c r="CR255" s="25901"/>
      <c r="CS255" s="25902"/>
      <c r="CT255" s="25903"/>
      <c r="CU255" s="25904"/>
      <c r="CV255" s="25905"/>
      <c r="CW255" s="21281"/>
      <c r="CX255" s="21633"/>
      <c r="CY255" s="21633" t="str">
        <f>IF(T255="","",T255)</f>
        <v>Добавить группу потребителей</v>
      </c>
      <c r="CZ255" s="21633"/>
      <c r="DA255" s="21633"/>
      <c r="DB255" s="21020">
        <v>0</v>
      </c>
    </row>
    <row s="57686" customFormat="1" customHeight="1" ht="14.25">
      <c r="A256" s="21621"/>
      <c r="B256" s="21621"/>
      <c r="C256" s="21621"/>
      <c r="D256" s="21621"/>
      <c r="E256" s="21622"/>
      <c r="F256" s="21622" t="s">
        <v>151</v>
      </c>
      <c r="G256" s="21622"/>
      <c r="H256" s="21623"/>
      <c r="I256" s="21621"/>
      <c r="J256" s="21621"/>
      <c r="K256" s="21621"/>
      <c r="L256" s="21624"/>
      <c r="M256" s="21625"/>
      <c r="N256" s="21625"/>
      <c r="O256" s="21264"/>
      <c r="P256" s="21910"/>
      <c r="Q256" s="21911"/>
      <c r="R256" s="21912"/>
      <c r="S256" s="25907"/>
      <c r="T256" s="25908" t="s">
        <v>624</v>
      </c>
      <c r="U256" s="25909"/>
      <c r="V256" s="25910"/>
      <c r="W256" s="25911"/>
      <c r="X256" s="25912"/>
      <c r="Y256" s="25913"/>
      <c r="Z256" s="25914"/>
      <c r="AA256" s="25915"/>
      <c r="AB256" s="25916"/>
      <c r="AC256" s="25917"/>
      <c r="AD256" s="25918"/>
      <c r="AE256" s="25919"/>
      <c r="AF256" s="25920"/>
      <c r="AG256" s="25921"/>
      <c r="AH256" s="25922"/>
      <c r="AI256" s="25923"/>
      <c r="AJ256" s="25924"/>
      <c r="AK256" s="25925"/>
      <c r="AL256" s="25926"/>
      <c r="AM256" s="25927"/>
      <c r="AN256" s="25928"/>
      <c r="AO256" s="25929"/>
      <c r="AP256" s="25930"/>
      <c r="AQ256" s="25931"/>
      <c r="AR256" s="25932"/>
      <c r="AS256" s="25933"/>
      <c r="AT256" s="25934"/>
      <c r="AU256" s="25935"/>
      <c r="AV256" s="25936"/>
      <c r="AW256" s="25937"/>
      <c r="AX256" s="25938"/>
      <c r="AY256" s="25939"/>
      <c r="AZ256" s="25940"/>
      <c r="BA256" s="25941"/>
      <c r="BB256" s="25942"/>
      <c r="BC256" s="25943"/>
      <c r="BD256" s="25944"/>
      <c r="BE256" s="25945"/>
      <c r="BF256" s="25946"/>
      <c r="BG256" s="25947"/>
      <c r="BH256" s="25948"/>
      <c r="BI256" s="25949"/>
      <c r="BJ256" s="25950"/>
      <c r="BK256" s="25951"/>
      <c r="BL256" s="25952"/>
      <c r="BM256" s="25953"/>
      <c r="BN256" s="25954"/>
      <c r="BO256" s="25955"/>
      <c r="BP256" s="25956"/>
      <c r="BQ256" s="25957"/>
      <c r="BR256" s="25958"/>
      <c r="BS256" s="25959"/>
      <c r="BT256" s="25960"/>
      <c r="BU256" s="25961"/>
      <c r="BV256" s="25962"/>
      <c r="BW256" s="25963"/>
      <c r="BX256" s="25964"/>
      <c r="BY256" s="25965"/>
      <c r="BZ256" s="25966"/>
      <c r="CA256" s="25967"/>
      <c r="CB256" s="25968"/>
      <c r="CC256" s="25969"/>
      <c r="CD256" s="25970"/>
      <c r="CE256" s="25971"/>
      <c r="CF256" s="25972"/>
      <c r="CG256" s="25973"/>
      <c r="CH256" s="25974"/>
      <c r="CI256" s="25975"/>
      <c r="CJ256" s="25976"/>
      <c r="CK256" s="25977"/>
      <c r="CL256" s="25978"/>
      <c r="CM256" s="25979"/>
      <c r="CN256" s="25980"/>
      <c r="CO256" s="25981"/>
      <c r="CP256" s="25982"/>
      <c r="CQ256" s="25983"/>
      <c r="CR256" s="25984"/>
      <c r="CS256" s="25985"/>
      <c r="CT256" s="25986"/>
      <c r="CU256" s="25987"/>
      <c r="CV256" s="25988"/>
      <c r="CW256" s="21281"/>
      <c r="CX256" s="21633"/>
      <c r="CY256" s="21633" t="str">
        <f>IF(T256="","",T256)</f>
        <v>Добавить наименование признака дифференциации</v>
      </c>
      <c r="CZ256" s="21633"/>
      <c r="DA256" s="21633"/>
      <c r="DB256" s="21020">
        <v>0</v>
      </c>
    </row>
    <row s="57769" customFormat="1" customHeight="1" ht="14.25">
      <c r="A257" s="21996"/>
      <c r="B257" s="21996"/>
      <c r="C257" s="21996"/>
      <c r="D257" s="21996"/>
      <c r="E257" s="21622"/>
      <c r="F257" s="21623" t="s">
        <v>151</v>
      </c>
      <c r="G257" s="21996"/>
      <c r="H257" s="21996"/>
      <c r="I257" s="21996"/>
      <c r="J257" s="21996"/>
      <c r="K257" s="21996"/>
      <c r="L257" s="21997"/>
      <c r="M257" s="21998"/>
      <c r="N257" s="21998"/>
      <c r="O257" s="21281"/>
      <c r="P257" s="21999"/>
      <c r="Q257" s="22000"/>
      <c r="R257" s="21999"/>
      <c r="S257" s="22001"/>
      <c r="T257" s="22002" t="s">
        <v>290</v>
      </c>
      <c r="U257" s="21260"/>
      <c r="V257" s="21260"/>
      <c r="W257" s="21260"/>
      <c r="X257" s="21260"/>
      <c r="Y257" s="21260"/>
      <c r="Z257" s="21260"/>
      <c r="AA257" s="21260"/>
      <c r="AB257" s="21260"/>
      <c r="AC257" s="21260"/>
      <c r="AD257" s="21260"/>
      <c r="AE257" s="21260"/>
      <c r="AF257" s="21260"/>
      <c r="AG257" s="21260"/>
      <c r="AH257" s="21260"/>
      <c r="AI257" s="21260"/>
      <c r="AJ257" s="21260"/>
      <c r="AK257" s="21260"/>
      <c r="AL257" s="21260"/>
      <c r="AM257" s="21260"/>
      <c r="AN257" s="21260"/>
      <c r="AO257" s="21260"/>
      <c r="AP257" s="21260"/>
      <c r="AQ257" s="21260"/>
      <c r="AR257" s="21260"/>
      <c r="AS257" s="21260"/>
      <c r="AT257" s="21260"/>
      <c r="AU257" s="21260"/>
      <c r="AV257" s="21260"/>
      <c r="AW257" s="21260"/>
      <c r="AX257" s="21260"/>
      <c r="AY257" s="21260"/>
      <c r="AZ257" s="21260"/>
      <c r="BA257" s="21260"/>
      <c r="BB257" s="21260"/>
      <c r="BC257" s="21260"/>
      <c r="BD257" s="21260"/>
      <c r="BE257" s="21260"/>
      <c r="BF257" s="21260"/>
      <c r="BG257" s="21260"/>
      <c r="BH257" s="21260"/>
      <c r="BI257" s="21260"/>
      <c r="BJ257" s="21260"/>
      <c r="BK257" s="21260"/>
      <c r="BL257" s="21260"/>
      <c r="BM257" s="21260"/>
      <c r="BN257" s="21260"/>
      <c r="BO257" s="21260"/>
      <c r="BP257" s="21260"/>
      <c r="BQ257" s="21260"/>
      <c r="BR257" s="21260"/>
      <c r="BS257" s="21260"/>
      <c r="BT257" s="21260"/>
      <c r="BU257" s="21260"/>
      <c r="BV257" s="21260"/>
      <c r="BW257" s="21260"/>
      <c r="BX257" s="21260"/>
      <c r="BY257" s="21260"/>
      <c r="BZ257" s="21260"/>
      <c r="CA257" s="21260"/>
      <c r="CB257" s="21260"/>
      <c r="CC257" s="21260"/>
      <c r="CD257" s="21260"/>
      <c r="CE257" s="21260"/>
      <c r="CF257" s="21260"/>
      <c r="CG257" s="21260"/>
      <c r="CH257" s="21260"/>
      <c r="CI257" s="21260"/>
      <c r="CJ257" s="21260"/>
      <c r="CK257" s="21260"/>
      <c r="CL257" s="21260"/>
      <c r="CM257" s="21260"/>
      <c r="CN257" s="21260"/>
      <c r="CO257" s="21260"/>
      <c r="CP257" s="21260"/>
      <c r="CQ257" s="21260"/>
      <c r="CR257" s="21260"/>
      <c r="CS257" s="21260"/>
      <c r="CT257" s="21260"/>
      <c r="CU257" s="21260"/>
      <c r="CV257" s="21260"/>
      <c r="CW257" s="21281"/>
      <c r="CX257" s="21633"/>
      <c r="CY257" s="21633" t="str">
        <f>IF(T257="","",T257)</f>
        <v>Добавить централизованную систему для дифференциации</v>
      </c>
      <c r="CZ257" s="21633"/>
      <c r="DA257" s="21633"/>
      <c r="DB257" s="21281">
        <v>0</v>
      </c>
    </row>
    <row s="57770" customFormat="1" customHeight="1" ht="23.25">
      <c r="A258" s="21621"/>
      <c r="B258" s="21621" t="s">
        <v>348</v>
      </c>
      <c r="C258" s="21621"/>
      <c r="D258" s="21621"/>
      <c r="E258" s="21622"/>
      <c r="F258" s="21623" t="s">
        <v>160</v>
      </c>
      <c r="G258" s="21621"/>
      <c r="H258" s="21621"/>
      <c r="I258" s="21621"/>
      <c r="J258" s="21621"/>
      <c r="K258" s="21621"/>
      <c r="L258" s="21624"/>
      <c r="M258" s="21625"/>
      <c r="N258" s="21625"/>
      <c r="O258" s="21625"/>
      <c r="P258" s="21626"/>
      <c r="Q258" s="21627"/>
      <c r="R258" s="21628"/>
      <c r="S258" s="21629" t="str">
        <f>INDEX(PT_DIFFERENTIATION_NUM_TER,MATCH(B258,PT_DIFFERENTIATION_TER_ID,0))</f>
        <v>1.13</v>
      </c>
      <c r="T258" s="21630" t="s">
        <v>536</v>
      </c>
      <c r="U258" s="21631"/>
      <c r="V258" s="21025"/>
      <c r="W258" s="21026"/>
      <c r="X258" s="21026"/>
      <c r="Y258" s="21026"/>
      <c r="Z258" s="21026"/>
      <c r="AA258" s="21026"/>
      <c r="AB258" s="21027"/>
      <c r="AC258" s="21025" t="str">
        <f>INDEX(PT_DIFFERENTIATION_TER,MATCH(B258,PT_DIFFERENTIATION_TER_ID,0))</f>
        <v>Территория 13</v>
      </c>
      <c r="AD258" s="21026"/>
      <c r="AE258" s="21026"/>
      <c r="AF258" s="21026"/>
      <c r="AG258" s="21026"/>
      <c r="AH258" s="21026"/>
      <c r="AI258" s="21026"/>
      <c r="AJ258" s="21025"/>
      <c r="AK258" s="21026"/>
      <c r="AL258" s="21026"/>
      <c r="AM258" s="21026"/>
      <c r="AN258" s="21026"/>
      <c r="AO258" s="21026"/>
      <c r="AP258" s="21027"/>
      <c r="AQ258" s="21025"/>
      <c r="AR258" s="21026"/>
      <c r="AS258" s="21026"/>
      <c r="AT258" s="21026"/>
      <c r="AU258" s="21026"/>
      <c r="AV258" s="21026"/>
      <c r="AW258" s="21027"/>
      <c r="AX258" s="21025"/>
      <c r="AY258" s="21026"/>
      <c r="AZ258" s="21026"/>
      <c r="BA258" s="21026"/>
      <c r="BB258" s="21026"/>
      <c r="BC258" s="21026"/>
      <c r="BD258" s="21027"/>
      <c r="BE258" s="21025"/>
      <c r="BF258" s="21026"/>
      <c r="BG258" s="21026"/>
      <c r="BH258" s="21026"/>
      <c r="BI258" s="21026"/>
      <c r="BJ258" s="21026"/>
      <c r="BK258" s="21027"/>
      <c r="BL258" s="21025"/>
      <c r="BM258" s="21026"/>
      <c r="BN258" s="21026"/>
      <c r="BO258" s="21026"/>
      <c r="BP258" s="21026"/>
      <c r="BQ258" s="21026"/>
      <c r="BR258" s="21027"/>
      <c r="BS258" s="21025"/>
      <c r="BT258" s="21026"/>
      <c r="BU258" s="21026"/>
      <c r="BV258" s="21026"/>
      <c r="BW258" s="21026"/>
      <c r="BX258" s="21026"/>
      <c r="BY258" s="21027"/>
      <c r="BZ258" s="21025"/>
      <c r="CA258" s="21026"/>
      <c r="CB258" s="21026"/>
      <c r="CC258" s="21026"/>
      <c r="CD258" s="21026"/>
      <c r="CE258" s="21026"/>
      <c r="CF258" s="21027"/>
      <c r="CG258" s="21025"/>
      <c r="CH258" s="21026"/>
      <c r="CI258" s="21026"/>
      <c r="CJ258" s="21026"/>
      <c r="CK258" s="21026"/>
      <c r="CL258" s="21026"/>
      <c r="CM258" s="21027"/>
      <c r="CN258" s="21025"/>
      <c r="CO258" s="21026"/>
      <c r="CP258" s="21026"/>
      <c r="CQ258" s="21026"/>
      <c r="CR258" s="21026"/>
      <c r="CS258" s="21026"/>
      <c r="CT258" s="21027"/>
      <c r="CU258" s="21027"/>
      <c r="CV258" s="21632" t="s">
        <v>537</v>
      </c>
      <c r="CW258" s="21281"/>
      <c r="CX258" s="21633"/>
      <c r="CY258" s="21633" t="str">
        <f>IF(T258="","",T258)</f>
        <v>Территория действия тарифа</v>
      </c>
      <c r="CZ258" s="21633"/>
      <c r="DA258" s="21633"/>
      <c r="DB258" s="21020">
        <v>0</v>
      </c>
    </row>
    <row s="57771" customFormat="1" customHeight="1" ht="23.25">
      <c r="A259" s="21621"/>
      <c r="B259" s="21621"/>
      <c r="C259" s="21621" t="s">
        <v>349</v>
      </c>
      <c r="D259" s="21621"/>
      <c r="E259" s="21622"/>
      <c r="F259" s="21622" t="s">
        <v>156</v>
      </c>
      <c r="G259" s="21623">
        <v>1</v>
      </c>
      <c r="H259" s="21621"/>
      <c r="I259" s="21621"/>
      <c r="J259" s="21621"/>
      <c r="K259" s="21621"/>
      <c r="L259" s="21624"/>
      <c r="M259" s="21625"/>
      <c r="N259" s="21625"/>
      <c r="O259" s="21625"/>
      <c r="P259" s="21635"/>
      <c r="Q259" s="21627"/>
      <c r="R259" s="21628"/>
      <c r="S259" s="21629" t="str">
        <f>INDEX(PT_DIFFERENTIATION_NUM_CS,MATCH(C259,PT_DIFFERENTIATION_CS_ID,0))</f>
        <v>1.13.1</v>
      </c>
      <c r="T259" s="21636" t="s">
        <v>617</v>
      </c>
      <c r="U259" s="21631"/>
      <c r="V259" s="21025"/>
      <c r="W259" s="21026"/>
      <c r="X259" s="21026"/>
      <c r="Y259" s="21026"/>
      <c r="Z259" s="21026"/>
      <c r="AA259" s="21026"/>
      <c r="AB259" s="21027"/>
      <c r="AC259" s="21025" t="str">
        <f>INDEX(PT_DIFFERENTIATION_CS,MATCH(C259,PT_DIFFERENTIATION_CS_ID,0))</f>
        <v>Военный городок Графский</v>
      </c>
      <c r="AD259" s="21026"/>
      <c r="AE259" s="21026"/>
      <c r="AF259" s="21026"/>
      <c r="AG259" s="21026"/>
      <c r="AH259" s="21026"/>
      <c r="AI259" s="21026"/>
      <c r="AJ259" s="21025"/>
      <c r="AK259" s="21026"/>
      <c r="AL259" s="21026"/>
      <c r="AM259" s="21026"/>
      <c r="AN259" s="21026"/>
      <c r="AO259" s="21026"/>
      <c r="AP259" s="21027"/>
      <c r="AQ259" s="21025"/>
      <c r="AR259" s="21026"/>
      <c r="AS259" s="21026"/>
      <c r="AT259" s="21026"/>
      <c r="AU259" s="21026"/>
      <c r="AV259" s="21026"/>
      <c r="AW259" s="21027"/>
      <c r="AX259" s="21025"/>
      <c r="AY259" s="21026"/>
      <c r="AZ259" s="21026"/>
      <c r="BA259" s="21026"/>
      <c r="BB259" s="21026"/>
      <c r="BC259" s="21026"/>
      <c r="BD259" s="21027"/>
      <c r="BE259" s="21025"/>
      <c r="BF259" s="21026"/>
      <c r="BG259" s="21026"/>
      <c r="BH259" s="21026"/>
      <c r="BI259" s="21026"/>
      <c r="BJ259" s="21026"/>
      <c r="BK259" s="21027"/>
      <c r="BL259" s="21025"/>
      <c r="BM259" s="21026"/>
      <c r="BN259" s="21026"/>
      <c r="BO259" s="21026"/>
      <c r="BP259" s="21026"/>
      <c r="BQ259" s="21026"/>
      <c r="BR259" s="21027"/>
      <c r="BS259" s="21025"/>
      <c r="BT259" s="21026"/>
      <c r="BU259" s="21026"/>
      <c r="BV259" s="21026"/>
      <c r="BW259" s="21026"/>
      <c r="BX259" s="21026"/>
      <c r="BY259" s="21027"/>
      <c r="BZ259" s="21025"/>
      <c r="CA259" s="21026"/>
      <c r="CB259" s="21026"/>
      <c r="CC259" s="21026"/>
      <c r="CD259" s="21026"/>
      <c r="CE259" s="21026"/>
      <c r="CF259" s="21027"/>
      <c r="CG259" s="21025"/>
      <c r="CH259" s="21026"/>
      <c r="CI259" s="21026"/>
      <c r="CJ259" s="21026"/>
      <c r="CK259" s="21026"/>
      <c r="CL259" s="21026"/>
      <c r="CM259" s="21027"/>
      <c r="CN259" s="21025"/>
      <c r="CO259" s="21026"/>
      <c r="CP259" s="21026"/>
      <c r="CQ259" s="21026"/>
      <c r="CR259" s="21026"/>
      <c r="CS259" s="21026"/>
      <c r="CT259" s="21027"/>
      <c r="CU259" s="21027"/>
      <c r="CV259" s="21632" t="s">
        <v>618</v>
      </c>
      <c r="CW259" s="21281"/>
      <c r="CX259" s="21633"/>
      <c r="CY259" s="21633" t="str">
        <f>IF(T259="","",T259)</f>
        <v>Наименование централизованной системы холодного водоснабжения</v>
      </c>
      <c r="CZ259" s="21633"/>
      <c r="DA259" s="21633"/>
      <c r="DB259" s="21020">
        <v>0</v>
      </c>
    </row>
    <row s="57772" customFormat="1" customHeight="1" ht="23.25">
      <c r="A260" s="21621"/>
      <c r="B260" s="21621"/>
      <c r="C260" s="21621"/>
      <c r="D260" s="21621"/>
      <c r="E260" s="21622"/>
      <c r="F260" s="21622" t="s">
        <v>156</v>
      </c>
      <c r="G260" s="21622"/>
      <c r="H260" s="21622"/>
      <c r="I260" s="21638" t="str">
        <f>S259&amp;".1"</f>
        <v>1.13.1.1</v>
      </c>
      <c r="J260" s="21621"/>
      <c r="K260" s="21621"/>
      <c r="L260" s="21624"/>
      <c r="M260" s="21639"/>
      <c r="N260" s="21639"/>
      <c r="O260" s="21639"/>
      <c r="P260" s="21640">
        <v>1</v>
      </c>
      <c r="Q260" s="21640"/>
      <c r="R260" s="21641"/>
      <c r="S260" s="21629" t="str">
        <f>$I260</f>
        <v>1.13.1.1</v>
      </c>
      <c r="T260" s="21642" t="s">
        <v>619</v>
      </c>
      <c r="U260" s="21631"/>
      <c r="V260" s="21038"/>
      <c r="W260" s="21039"/>
      <c r="X260" s="21039"/>
      <c r="Y260" s="21039"/>
      <c r="Z260" s="21039"/>
      <c r="AA260" s="21039"/>
      <c r="AB260" s="21040"/>
      <c r="AC260" s="21643"/>
      <c r="AD260" s="21644"/>
      <c r="AE260" s="21644"/>
      <c r="AF260" s="21644"/>
      <c r="AG260" s="21644"/>
      <c r="AH260" s="21644"/>
      <c r="AI260" s="21644"/>
      <c r="AJ260" s="21038"/>
      <c r="AK260" s="21039"/>
      <c r="AL260" s="21039"/>
      <c r="AM260" s="21039"/>
      <c r="AN260" s="21039"/>
      <c r="AO260" s="21039"/>
      <c r="AP260" s="21040"/>
      <c r="AQ260" s="21038"/>
      <c r="AR260" s="21039"/>
      <c r="AS260" s="21039"/>
      <c r="AT260" s="21039"/>
      <c r="AU260" s="21039"/>
      <c r="AV260" s="21039"/>
      <c r="AW260" s="21040"/>
      <c r="AX260" s="21038"/>
      <c r="AY260" s="21039"/>
      <c r="AZ260" s="21039"/>
      <c r="BA260" s="21039"/>
      <c r="BB260" s="21039"/>
      <c r="BC260" s="21039"/>
      <c r="BD260" s="21040"/>
      <c r="BE260" s="21038"/>
      <c r="BF260" s="21039"/>
      <c r="BG260" s="21039"/>
      <c r="BH260" s="21039"/>
      <c r="BI260" s="21039"/>
      <c r="BJ260" s="21039"/>
      <c r="BK260" s="21040"/>
      <c r="BL260" s="21038"/>
      <c r="BM260" s="21039"/>
      <c r="BN260" s="21039"/>
      <c r="BO260" s="21039"/>
      <c r="BP260" s="21039"/>
      <c r="BQ260" s="21039"/>
      <c r="BR260" s="21040"/>
      <c r="BS260" s="21038"/>
      <c r="BT260" s="21039"/>
      <c r="BU260" s="21039"/>
      <c r="BV260" s="21039"/>
      <c r="BW260" s="21039"/>
      <c r="BX260" s="21039"/>
      <c r="BY260" s="21040"/>
      <c r="BZ260" s="21038"/>
      <c r="CA260" s="21039"/>
      <c r="CB260" s="21039"/>
      <c r="CC260" s="21039"/>
      <c r="CD260" s="21039"/>
      <c r="CE260" s="21039"/>
      <c r="CF260" s="21040"/>
      <c r="CG260" s="21038"/>
      <c r="CH260" s="21039"/>
      <c r="CI260" s="21039"/>
      <c r="CJ260" s="21039"/>
      <c r="CK260" s="21039"/>
      <c r="CL260" s="21039"/>
      <c r="CM260" s="21040"/>
      <c r="CN260" s="21038"/>
      <c r="CO260" s="21039"/>
      <c r="CP260" s="21039"/>
      <c r="CQ260" s="21039"/>
      <c r="CR260" s="21039"/>
      <c r="CS260" s="21039"/>
      <c r="CT260" s="21040"/>
      <c r="CU260" s="21645"/>
      <c r="CV260" s="21632" t="s">
        <v>620</v>
      </c>
      <c r="CW260" s="21281"/>
      <c r="CX260" s="21633"/>
      <c r="CY260" s="21633" t="str">
        <f>IF(T260="","",T260)</f>
        <v>Наименование признака дифференциации</v>
      </c>
      <c r="CZ260" s="21633"/>
      <c r="DA260" s="21633"/>
      <c r="DB260" s="21020">
        <v>0</v>
      </c>
    </row>
    <row s="57773" customFormat="1" customHeight="1" ht="23.25">
      <c r="A261" s="21621"/>
      <c r="B261" s="21621"/>
      <c r="C261" s="21621"/>
      <c r="D261" s="21621"/>
      <c r="E261" s="21622"/>
      <c r="F261" s="21622" t="s">
        <v>156</v>
      </c>
      <c r="G261" s="21622"/>
      <c r="H261" s="21622"/>
      <c r="I261" s="21647"/>
      <c r="J261" s="21638" t="str">
        <f>I260&amp;".1"</f>
        <v>1.13.1.1.1</v>
      </c>
      <c r="K261" s="21621"/>
      <c r="L261" s="21624" t="s">
        <v>545</v>
      </c>
      <c r="M261" s="21639"/>
      <c r="N261" s="21639"/>
      <c r="O261" s="21639"/>
      <c r="P261" s="21640"/>
      <c r="Q261" s="21640">
        <v>1</v>
      </c>
      <c r="R261" s="21648"/>
      <c r="S261" s="21629" t="str">
        <f>$J261</f>
        <v>1.13.1.1.1</v>
      </c>
      <c r="T261" s="21649" t="s">
        <v>546</v>
      </c>
      <c r="U261" s="21631"/>
      <c r="V261" s="21045"/>
      <c r="W261" s="21046"/>
      <c r="X261" s="21046"/>
      <c r="Y261" s="21046"/>
      <c r="Z261" s="21046"/>
      <c r="AA261" s="21046"/>
      <c r="AB261" s="21047"/>
      <c r="AC261" s="21045" t="s">
        <v>632</v>
      </c>
      <c r="AD261" s="21046"/>
      <c r="AE261" s="21046"/>
      <c r="AF261" s="21046"/>
      <c r="AG261" s="21046"/>
      <c r="AH261" s="21046"/>
      <c r="AI261" s="21046"/>
      <c r="AJ261" s="21045"/>
      <c r="AK261" s="21046"/>
      <c r="AL261" s="21046"/>
      <c r="AM261" s="21046"/>
      <c r="AN261" s="21046"/>
      <c r="AO261" s="21046"/>
      <c r="AP261" s="21047"/>
      <c r="AQ261" s="21045"/>
      <c r="AR261" s="21046"/>
      <c r="AS261" s="21046"/>
      <c r="AT261" s="21046"/>
      <c r="AU261" s="21046"/>
      <c r="AV261" s="21046"/>
      <c r="AW261" s="21047"/>
      <c r="AX261" s="21045"/>
      <c r="AY261" s="21046"/>
      <c r="AZ261" s="21046"/>
      <c r="BA261" s="21046"/>
      <c r="BB261" s="21046"/>
      <c r="BC261" s="21046"/>
      <c r="BD261" s="21047"/>
      <c r="BE261" s="21045"/>
      <c r="BF261" s="21046"/>
      <c r="BG261" s="21046"/>
      <c r="BH261" s="21046"/>
      <c r="BI261" s="21046"/>
      <c r="BJ261" s="21046"/>
      <c r="BK261" s="21047"/>
      <c r="BL261" s="21045"/>
      <c r="BM261" s="21046"/>
      <c r="BN261" s="21046"/>
      <c r="BO261" s="21046"/>
      <c r="BP261" s="21046"/>
      <c r="BQ261" s="21046"/>
      <c r="BR261" s="21047"/>
      <c r="BS261" s="21045"/>
      <c r="BT261" s="21046"/>
      <c r="BU261" s="21046"/>
      <c r="BV261" s="21046"/>
      <c r="BW261" s="21046"/>
      <c r="BX261" s="21046"/>
      <c r="BY261" s="21047"/>
      <c r="BZ261" s="21045"/>
      <c r="CA261" s="21046"/>
      <c r="CB261" s="21046"/>
      <c r="CC261" s="21046"/>
      <c r="CD261" s="21046"/>
      <c r="CE261" s="21046"/>
      <c r="CF261" s="21047"/>
      <c r="CG261" s="21045"/>
      <c r="CH261" s="21046"/>
      <c r="CI261" s="21046"/>
      <c r="CJ261" s="21046"/>
      <c r="CK261" s="21046"/>
      <c r="CL261" s="21046"/>
      <c r="CM261" s="21047"/>
      <c r="CN261" s="21045"/>
      <c r="CO261" s="21046"/>
      <c r="CP261" s="21046"/>
      <c r="CQ261" s="21046"/>
      <c r="CR261" s="21046"/>
      <c r="CS261" s="21046"/>
      <c r="CT261" s="21047"/>
      <c r="CU261" s="21047"/>
      <c r="CV261" s="21650" t="s">
        <v>621</v>
      </c>
      <c r="CW261" s="21281"/>
      <c r="CX261" s="21633"/>
      <c r="CY261" s="21633" t="str">
        <f>IF(T261="","",T261)</f>
        <v>Группа потребителей</v>
      </c>
      <c r="CZ261" s="21633"/>
      <c r="DA261" s="21633"/>
      <c r="DB261" s="21020">
        <v>0</v>
      </c>
    </row>
    <row s="57774" customFormat="1" customHeight="1" ht="23.25">
      <c r="A262" s="21621"/>
      <c r="B262" s="21621"/>
      <c r="C262" s="21621"/>
      <c r="D262" s="21621"/>
      <c r="E262" s="21622"/>
      <c r="F262" s="21622" t="s">
        <v>156</v>
      </c>
      <c r="G262" s="21622"/>
      <c r="H262" s="21622"/>
      <c r="I262" s="21647"/>
      <c r="J262" s="21647"/>
      <c r="K262" s="21638" t="str">
        <f>J261&amp;".1"</f>
        <v>1.13.1.1.1.1</v>
      </c>
      <c r="L262" s="21624"/>
      <c r="M262" s="21639"/>
      <c r="N262" s="21639"/>
      <c r="O262" s="21639"/>
      <c r="P262" s="21640"/>
      <c r="Q262" s="21640"/>
      <c r="R262" s="21648">
        <v>1</v>
      </c>
      <c r="S262" s="21629" t="str">
        <f>$K262</f>
        <v>1.13.1.1.1.1</v>
      </c>
      <c r="T262" s="21652"/>
      <c r="U262" s="21631"/>
      <c r="V262" s="21053"/>
      <c r="W262" s="21053"/>
      <c r="X262" s="21054"/>
      <c r="Y262" s="21055"/>
      <c r="Z262" s="21056" t="s">
        <v>63</v>
      </c>
      <c r="AA262" s="21055"/>
      <c r="AB262" s="21056" t="s">
        <v>63</v>
      </c>
      <c r="AC262" s="21053">
        <v>45.58</v>
      </c>
      <c r="AD262" s="21053"/>
      <c r="AE262" s="21054"/>
      <c r="AF262" s="57093">
        <v>45292.616527777776</v>
      </c>
      <c r="AG262" s="21056" t="s">
        <v>63</v>
      </c>
      <c r="AH262" s="57094">
        <v>45473.61634259259</v>
      </c>
      <c r="AI262" s="21056" t="s">
        <v>63</v>
      </c>
      <c r="AJ262" s="21053">
        <v>54.68</v>
      </c>
      <c r="AK262" s="21053"/>
      <c r="AL262" s="21054"/>
      <c r="AM262" s="57093">
        <v>45474.61614583333</v>
      </c>
      <c r="AN262" s="21056" t="s">
        <v>63</v>
      </c>
      <c r="AO262" s="57093">
        <v>45657.61603009259</v>
      </c>
      <c r="AP262" s="21056" t="s">
        <v>63</v>
      </c>
      <c r="AQ262" s="21053">
        <v>54.68</v>
      </c>
      <c r="AR262" s="21053"/>
      <c r="AS262" s="21054"/>
      <c r="AT262" s="57093">
        <v>45658.61550925926</v>
      </c>
      <c r="AU262" s="21056" t="s">
        <v>63</v>
      </c>
      <c r="AV262" s="57093">
        <v>45838.615277777775</v>
      </c>
      <c r="AW262" s="21056" t="s">
        <v>63</v>
      </c>
      <c r="AX262" s="21053">
        <v>61.69</v>
      </c>
      <c r="AY262" s="21053"/>
      <c r="AZ262" s="21054"/>
      <c r="BA262" s="57093">
        <v>45839.61508101852</v>
      </c>
      <c r="BB262" s="21056" t="s">
        <v>63</v>
      </c>
      <c r="BC262" s="57093">
        <v>46022.61491898148</v>
      </c>
      <c r="BD262" s="21056" t="s">
        <v>63</v>
      </c>
      <c r="BE262" s="21053">
        <v>61.69</v>
      </c>
      <c r="BF262" s="21053"/>
      <c r="BG262" s="21054"/>
      <c r="BH262" s="57093">
        <v>46023.61466435185</v>
      </c>
      <c r="BI262" s="21056" t="s">
        <v>63</v>
      </c>
      <c r="BJ262" s="57093">
        <v>46203.614432870374</v>
      </c>
      <c r="BK262" s="21056" t="s">
        <v>63</v>
      </c>
      <c r="BL262" s="21053">
        <v>63.5</v>
      </c>
      <c r="BM262" s="21053"/>
      <c r="BN262" s="21054"/>
      <c r="BO262" s="57093">
        <v>46204.61415509259</v>
      </c>
      <c r="BP262" s="21056" t="s">
        <v>63</v>
      </c>
      <c r="BQ262" s="57093">
        <v>46387.613958333335</v>
      </c>
      <c r="BR262" s="21056" t="s">
        <v>63</v>
      </c>
      <c r="BS262" s="21053">
        <v>63.5</v>
      </c>
      <c r="BT262" s="21053"/>
      <c r="BU262" s="21054"/>
      <c r="BV262" s="57093">
        <v>46388.613657407404</v>
      </c>
      <c r="BW262" s="21056" t="s">
        <v>63</v>
      </c>
      <c r="BX262" s="57093">
        <v>46568.61342592593</v>
      </c>
      <c r="BY262" s="21056" t="s">
        <v>63</v>
      </c>
      <c r="BZ262" s="21053">
        <v>57.54</v>
      </c>
      <c r="CA262" s="21053"/>
      <c r="CB262" s="21054"/>
      <c r="CC262" s="57093">
        <v>46569.613217592596</v>
      </c>
      <c r="CD262" s="21056" t="s">
        <v>63</v>
      </c>
      <c r="CE262" s="57093">
        <v>46752.61293981481</v>
      </c>
      <c r="CF262" s="21056" t="s">
        <v>63</v>
      </c>
      <c r="CG262" s="21053">
        <v>57.54</v>
      </c>
      <c r="CH262" s="21053"/>
      <c r="CI262" s="21054"/>
      <c r="CJ262" s="57093">
        <v>46753.612546296295</v>
      </c>
      <c r="CK262" s="21056" t="s">
        <v>63</v>
      </c>
      <c r="CL262" s="57093">
        <v>46934</v>
      </c>
      <c r="CM262" s="21056" t="s">
        <v>63</v>
      </c>
      <c r="CN262" s="21053">
        <v>67.33</v>
      </c>
      <c r="CO262" s="21053"/>
      <c r="CP262" s="21054"/>
      <c r="CQ262" s="57093">
        <v>46935.61111111111</v>
      </c>
      <c r="CR262" s="21056" t="s">
        <v>63</v>
      </c>
      <c r="CS262" s="57093">
        <v>47118.61142361111</v>
      </c>
      <c r="CT262" s="21056" t="s">
        <v>63</v>
      </c>
      <c r="CU262" s="21653"/>
      <c r="CV262"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2" s="21281">
        <f>STRCHECKDATE(V263:CU263)</f>
      </c>
      <c r="CX262" s="21633"/>
      <c r="CY262" s="21633" t="str">
        <f>IF(T262="","",T262)</f>
        <v/>
      </c>
      <c r="CZ262" s="21633"/>
      <c r="DA262" s="21633"/>
      <c r="DB262" s="21020">
        <v>0</v>
      </c>
    </row>
    <row s="57775" customFormat="1" customHeight="1" ht="14.25">
      <c r="A263" s="21621"/>
      <c r="B263" s="21621"/>
      <c r="C263" s="21621"/>
      <c r="D263" s="21621"/>
      <c r="E263" s="21622"/>
      <c r="F263" s="21622" t="s">
        <v>156</v>
      </c>
      <c r="G263" s="21622"/>
      <c r="H263" s="21622"/>
      <c r="I263" s="21647"/>
      <c r="J263" s="21647"/>
      <c r="K263" s="21638"/>
      <c r="L263" s="21624"/>
      <c r="M263" s="21639"/>
      <c r="N263" s="21639"/>
      <c r="O263" s="21639"/>
      <c r="P263" s="21640"/>
      <c r="Q263" s="21640"/>
      <c r="R263" s="21648"/>
      <c r="S263" s="21656"/>
      <c r="T263" s="21631"/>
      <c r="U263" s="21631"/>
      <c r="V263" s="21063"/>
      <c r="W263" s="21063"/>
      <c r="X263" s="21064" t="str">
        <f>Y262&amp;"-"&amp;AA262</f>
        <v>-</v>
      </c>
      <c r="Y263" s="21065"/>
      <c r="Z263" s="21056"/>
      <c r="AA263" s="21065"/>
      <c r="AB263" s="21056"/>
      <c r="AC263" s="21063"/>
      <c r="AD263" s="21063"/>
      <c r="AE263" s="21064" t="str">
        <f>AF262&amp;"-"&amp;AH262</f>
        <v>45292.616527777776-45473.61634259259</v>
      </c>
      <c r="AF263" s="21065"/>
      <c r="AG263" s="21056"/>
      <c r="AH263" s="21324"/>
      <c r="AI263" s="21056"/>
      <c r="AJ263" s="21063"/>
      <c r="AK263" s="21063"/>
      <c r="AL263" s="21064" t="str">
        <f>AM262&amp;"-"&amp;AO262</f>
        <v>45474.61614583333-45657.61603009259</v>
      </c>
      <c r="AM263" s="21065"/>
      <c r="AN263" s="21056"/>
      <c r="AO263" s="21065"/>
      <c r="AP263" s="21056"/>
      <c r="AQ263" s="21063"/>
      <c r="AR263" s="21063"/>
      <c r="AS263" s="21064" t="str">
        <f>AT262&amp;"-"&amp;AV262</f>
        <v>45658.61550925926-45838.615277777775</v>
      </c>
      <c r="AT263" s="21065"/>
      <c r="AU263" s="21056"/>
      <c r="AV263" s="21065"/>
      <c r="AW263" s="21056"/>
      <c r="AX263" s="21063"/>
      <c r="AY263" s="21063"/>
      <c r="AZ263" s="21064" t="str">
        <f>BA262&amp;"-"&amp;BC262</f>
        <v>45839.61508101852-46022.61491898148</v>
      </c>
      <c r="BA263" s="21065"/>
      <c r="BB263" s="21056"/>
      <c r="BC263" s="21065"/>
      <c r="BD263" s="21056"/>
      <c r="BE263" s="21063"/>
      <c r="BF263" s="21063"/>
      <c r="BG263" s="21064" t="str">
        <f>BH262&amp;"-"&amp;BJ262</f>
        <v>46023.61466435185-46203.614432870374</v>
      </c>
      <c r="BH263" s="21065"/>
      <c r="BI263" s="21056"/>
      <c r="BJ263" s="21065"/>
      <c r="BK263" s="21056"/>
      <c r="BL263" s="21063"/>
      <c r="BM263" s="21063"/>
      <c r="BN263" s="21064" t="str">
        <f>BO262&amp;"-"&amp;BQ262</f>
        <v>46204.61415509259-46387.613958333335</v>
      </c>
      <c r="BO263" s="21065"/>
      <c r="BP263" s="21056"/>
      <c r="BQ263" s="21065"/>
      <c r="BR263" s="21056"/>
      <c r="BS263" s="21063"/>
      <c r="BT263" s="21063"/>
      <c r="BU263" s="21064" t="str">
        <f>BV262&amp;"-"&amp;BX262</f>
        <v>46388.613657407404-46568.61342592593</v>
      </c>
      <c r="BV263" s="21065"/>
      <c r="BW263" s="21056"/>
      <c r="BX263" s="21065"/>
      <c r="BY263" s="21056"/>
      <c r="BZ263" s="21063"/>
      <c r="CA263" s="21063"/>
      <c r="CB263" s="21064" t="str">
        <f>CC262&amp;"-"&amp;CE262</f>
        <v>46569.613217592596-46752.61293981481</v>
      </c>
      <c r="CC263" s="21065"/>
      <c r="CD263" s="21056"/>
      <c r="CE263" s="21065"/>
      <c r="CF263" s="21056"/>
      <c r="CG263" s="21063"/>
      <c r="CH263" s="21063"/>
      <c r="CI263" s="21064" t="str">
        <f>CJ262&amp;"-"&amp;CL262</f>
        <v>46753.612546296295-46934</v>
      </c>
      <c r="CJ263" s="21065"/>
      <c r="CK263" s="21056"/>
      <c r="CL263" s="21065"/>
      <c r="CM263" s="21056"/>
      <c r="CN263" s="21063"/>
      <c r="CO263" s="21063"/>
      <c r="CP263" s="21064" t="str">
        <f>CQ262&amp;"-"&amp;CS262</f>
        <v>46935.61111111111-47118.61142361111</v>
      </c>
      <c r="CQ263" s="21065"/>
      <c r="CR263" s="21056"/>
      <c r="CS263" s="21065"/>
      <c r="CT263" s="21056"/>
      <c r="CU263" s="21657"/>
      <c r="CV263" s="21654"/>
      <c r="CW263" s="21281"/>
      <c r="CX263" s="21633"/>
      <c r="CY263" s="21633" t="str">
        <f>IF(T263="","",T263)</f>
        <v/>
      </c>
      <c r="CZ263" s="21633"/>
      <c r="DA263" s="21633"/>
      <c r="DB263" s="21020">
        <v>0</v>
      </c>
    </row>
    <row s="57776" customFormat="1" customHeight="1" ht="21">
      <c r="A264" s="21621"/>
      <c r="B264" s="21621"/>
      <c r="C264" s="21621"/>
      <c r="D264" s="21621"/>
      <c r="E264" s="21622"/>
      <c r="F264" s="21622" t="s">
        <v>156</v>
      </c>
      <c r="G264" s="21622"/>
      <c r="H264" s="21622"/>
      <c r="I264" s="21647"/>
      <c r="J264" s="21638"/>
      <c r="K264" s="21621"/>
      <c r="L264" s="21624"/>
      <c r="M264" s="21639"/>
      <c r="N264" s="21639"/>
      <c r="O264" s="21639"/>
      <c r="P264" s="21640"/>
      <c r="Q264" s="21640"/>
      <c r="R264" s="21641"/>
      <c r="S264" s="25997"/>
      <c r="T264" s="25998" t="s">
        <v>622</v>
      </c>
      <c r="U264" s="25999"/>
      <c r="V264" s="26000"/>
      <c r="W264" s="26001"/>
      <c r="X264" s="26002"/>
      <c r="Y264" s="26003"/>
      <c r="Z264" s="26004"/>
      <c r="AA264" s="26005"/>
      <c r="AB264" s="26006"/>
      <c r="AC264" s="26007"/>
      <c r="AD264" s="26008"/>
      <c r="AE264" s="26009"/>
      <c r="AF264" s="26010"/>
      <c r="AG264" s="26011"/>
      <c r="AH264" s="26012"/>
      <c r="AI264" s="26013"/>
      <c r="AJ264" s="26014"/>
      <c r="AK264" s="26015"/>
      <c r="AL264" s="26016"/>
      <c r="AM264" s="26017"/>
      <c r="AN264" s="26018"/>
      <c r="AO264" s="26019"/>
      <c r="AP264" s="26020"/>
      <c r="AQ264" s="26021"/>
      <c r="AR264" s="26022"/>
      <c r="AS264" s="26023"/>
      <c r="AT264" s="26024"/>
      <c r="AU264" s="26025"/>
      <c r="AV264" s="26026"/>
      <c r="AW264" s="26027"/>
      <c r="AX264" s="26028"/>
      <c r="AY264" s="26029"/>
      <c r="AZ264" s="26030"/>
      <c r="BA264" s="26031"/>
      <c r="BB264" s="26032"/>
      <c r="BC264" s="26033"/>
      <c r="BD264" s="26034"/>
      <c r="BE264" s="26035"/>
      <c r="BF264" s="26036"/>
      <c r="BG264" s="26037"/>
      <c r="BH264" s="26038"/>
      <c r="BI264" s="26039"/>
      <c r="BJ264" s="26040"/>
      <c r="BK264" s="26041"/>
      <c r="BL264" s="26042"/>
      <c r="BM264" s="26043"/>
      <c r="BN264" s="26044"/>
      <c r="BO264" s="26045"/>
      <c r="BP264" s="26046"/>
      <c r="BQ264" s="26047"/>
      <c r="BR264" s="26048"/>
      <c r="BS264" s="26049"/>
      <c r="BT264" s="26050"/>
      <c r="BU264" s="26051"/>
      <c r="BV264" s="26052"/>
      <c r="BW264" s="26053"/>
      <c r="BX264" s="26054"/>
      <c r="BY264" s="26055"/>
      <c r="BZ264" s="26056"/>
      <c r="CA264" s="26057"/>
      <c r="CB264" s="26058"/>
      <c r="CC264" s="26059"/>
      <c r="CD264" s="26060"/>
      <c r="CE264" s="26061"/>
      <c r="CF264" s="26062"/>
      <c r="CG264" s="26063"/>
      <c r="CH264" s="26064"/>
      <c r="CI264" s="26065"/>
      <c r="CJ264" s="26066"/>
      <c r="CK264" s="26067"/>
      <c r="CL264" s="26068"/>
      <c r="CM264" s="26069"/>
      <c r="CN264" s="26070"/>
      <c r="CO264" s="26071"/>
      <c r="CP264" s="26072"/>
      <c r="CQ264" s="26073"/>
      <c r="CR264" s="26074"/>
      <c r="CS264" s="26075"/>
      <c r="CT264" s="26076"/>
      <c r="CU264" s="26077"/>
      <c r="CV264" s="21632" t="s">
        <v>623</v>
      </c>
      <c r="CW264" s="21281"/>
      <c r="CX264" s="21633"/>
      <c r="CY264" s="21633" t="str">
        <f>IF(T264="","",T264)</f>
        <v>Добавить значение признака дифференциации</v>
      </c>
      <c r="CZ264" s="21633"/>
      <c r="DA264" s="21633"/>
      <c r="DB264" s="21020">
        <v>0</v>
      </c>
    </row>
    <row s="57858" customFormat="1" customHeight="1" ht="23.25">
      <c r="A265" s="33106"/>
      <c r="B265" s="33106"/>
      <c r="C265" s="33106"/>
      <c r="D265" s="33106"/>
      <c r="E265" s="33107"/>
      <c r="F265" s="33107"/>
      <c r="G265" s="33107"/>
      <c r="H265" s="33107"/>
      <c r="I265" s="33108"/>
      <c r="J265" s="33109" t="str">
        <f>I260&amp;".2"</f>
        <v>1.13.1.1.2</v>
      </c>
      <c r="K265" s="33106"/>
      <c r="L265" s="33110" t="s">
        <v>545</v>
      </c>
      <c r="M265" s="33111"/>
      <c r="N265" s="33111"/>
      <c r="O265" s="33111"/>
      <c r="P265" s="33112"/>
      <c r="Q265" s="33113" t="s">
        <v>106</v>
      </c>
      <c r="R265" s="33114"/>
      <c r="S265" s="33115" t="str">
        <f>$J265</f>
        <v>1.13.1.1.2</v>
      </c>
      <c r="T265" s="33116" t="s">
        <v>546</v>
      </c>
      <c r="U265" s="33117"/>
      <c r="V265" s="33118"/>
      <c r="W265" s="33119"/>
      <c r="X265" s="33119"/>
      <c r="Y265" s="33119"/>
      <c r="Z265" s="33119"/>
      <c r="AA265" s="33119"/>
      <c r="AB265" s="33120"/>
      <c r="AC265" s="33118" t="s">
        <v>633</v>
      </c>
      <c r="AD265" s="33119"/>
      <c r="AE265" s="33119"/>
      <c r="AF265" s="33119"/>
      <c r="AG265" s="33119"/>
      <c r="AH265" s="33119"/>
      <c r="AI265" s="33119"/>
      <c r="AJ265" s="33118"/>
      <c r="AK265" s="33119"/>
      <c r="AL265" s="33119"/>
      <c r="AM265" s="33119"/>
      <c r="AN265" s="33119"/>
      <c r="AO265" s="33119"/>
      <c r="AP265" s="33120"/>
      <c r="AQ265" s="33118"/>
      <c r="AR265" s="33119"/>
      <c r="AS265" s="33119"/>
      <c r="AT265" s="33119"/>
      <c r="AU265" s="33119"/>
      <c r="AV265" s="33119"/>
      <c r="AW265" s="33120"/>
      <c r="AX265" s="33118"/>
      <c r="AY265" s="33119"/>
      <c r="AZ265" s="33119"/>
      <c r="BA265" s="33119"/>
      <c r="BB265" s="33119"/>
      <c r="BC265" s="33119"/>
      <c r="BD265" s="33120"/>
      <c r="BE265" s="33118"/>
      <c r="BF265" s="33119"/>
      <c r="BG265" s="33119"/>
      <c r="BH265" s="33119"/>
      <c r="BI265" s="33119"/>
      <c r="BJ265" s="33119"/>
      <c r="BK265" s="33120"/>
      <c r="BL265" s="33118"/>
      <c r="BM265" s="33119"/>
      <c r="BN265" s="33119"/>
      <c r="BO265" s="33119"/>
      <c r="BP265" s="33119"/>
      <c r="BQ265" s="33119"/>
      <c r="BR265" s="33120"/>
      <c r="BS265" s="33118"/>
      <c r="BT265" s="33119"/>
      <c r="BU265" s="33119"/>
      <c r="BV265" s="33119"/>
      <c r="BW265" s="33119"/>
      <c r="BX265" s="33119"/>
      <c r="BY265" s="33120"/>
      <c r="BZ265" s="33118"/>
      <c r="CA265" s="33119"/>
      <c r="CB265" s="33119"/>
      <c r="CC265" s="33119"/>
      <c r="CD265" s="33119"/>
      <c r="CE265" s="33119"/>
      <c r="CF265" s="33120"/>
      <c r="CG265" s="33118"/>
      <c r="CH265" s="33119"/>
      <c r="CI265" s="33119"/>
      <c r="CJ265" s="33119"/>
      <c r="CK265" s="33119"/>
      <c r="CL265" s="33119"/>
      <c r="CM265" s="33120"/>
      <c r="CN265" s="33118"/>
      <c r="CO265" s="33119"/>
      <c r="CP265" s="33119"/>
      <c r="CQ265" s="33119"/>
      <c r="CR265" s="33119"/>
      <c r="CS265" s="33119"/>
      <c r="CT265" s="33121"/>
      <c r="CU265" s="33120"/>
      <c r="CV265" s="33122" t="s">
        <v>621</v>
      </c>
      <c r="CW265" s="33123"/>
      <c r="CX265" s="33124"/>
      <c r="CY265" s="33124" t="str">
        <f>IF(T265="","",T265)</f>
        <v>Группа потребителей</v>
      </c>
      <c r="CZ265" s="33124"/>
      <c r="DA265" s="33124"/>
      <c r="DB265" s="33125">
        <v>0</v>
      </c>
    </row>
    <row s="57859" customFormat="1" customHeight="1" ht="23.25">
      <c r="A266" s="33106"/>
      <c r="B266" s="33106"/>
      <c r="C266" s="33106"/>
      <c r="D266" s="33106"/>
      <c r="E266" s="33107"/>
      <c r="F266" s="33107"/>
      <c r="G266" s="33107"/>
      <c r="H266" s="33107"/>
      <c r="I266" s="33108"/>
      <c r="J266" s="33108" t="str">
        <f>I260&amp;".1"</f>
        <v>1.13.1.1.1</v>
      </c>
      <c r="K266" s="33109" t="str">
        <f>J265&amp;".1"</f>
        <v>1.13.1.1.2.1</v>
      </c>
      <c r="L266" s="33110"/>
      <c r="M266" s="33111"/>
      <c r="N266" s="33111"/>
      <c r="O266" s="33111"/>
      <c r="P266" s="33112"/>
      <c r="Q266" s="33112"/>
      <c r="R266" s="33114">
        <v>1</v>
      </c>
      <c r="S266" s="33115" t="str">
        <f>$K266</f>
        <v>1.13.1.1.2.1</v>
      </c>
      <c r="T266" s="33127"/>
      <c r="U266" s="33117"/>
      <c r="V266" s="33128"/>
      <c r="W266" s="33128"/>
      <c r="X266" s="33129"/>
      <c r="Y266" s="33020"/>
      <c r="Z266" s="33130" t="s">
        <v>63</v>
      </c>
      <c r="AA266" s="33020"/>
      <c r="AB266" s="33130" t="s">
        <v>63</v>
      </c>
      <c r="AC266" s="33128">
        <v>37.98</v>
      </c>
      <c r="AD266" s="33128"/>
      <c r="AE266" s="33129"/>
      <c r="AF266" s="57093">
        <v>45292.616435185184</v>
      </c>
      <c r="AG266" s="33130" t="s">
        <v>63</v>
      </c>
      <c r="AH266" s="57094">
        <v>45473.61625</v>
      </c>
      <c r="AI266" s="33130" t="s">
        <v>63</v>
      </c>
      <c r="AJ266" s="33128">
        <v>45.57</v>
      </c>
      <c r="AK266" s="33128"/>
      <c r="AL266" s="33129"/>
      <c r="AM266" s="57093">
        <v>45474.61607638889</v>
      </c>
      <c r="AN266" s="33130" t="s">
        <v>63</v>
      </c>
      <c r="AO266" s="57093">
        <v>45657.615694444445</v>
      </c>
      <c r="AP266" s="33130" t="s">
        <v>63</v>
      </c>
      <c r="AQ266" s="33128">
        <v>45.57</v>
      </c>
      <c r="AR266" s="33128"/>
      <c r="AS266" s="33129"/>
      <c r="AT266" s="57093">
        <v>45658.61539351852</v>
      </c>
      <c r="AU266" s="33130" t="s">
        <v>63</v>
      </c>
      <c r="AV266" s="57093">
        <v>45838.61518518518</v>
      </c>
      <c r="AW266" s="33130" t="s">
        <v>63</v>
      </c>
      <c r="AX266" s="33128">
        <v>51.41</v>
      </c>
      <c r="AY266" s="33128"/>
      <c r="AZ266" s="33129"/>
      <c r="BA266" s="57093">
        <v>45839.61497685185</v>
      </c>
      <c r="BB266" s="33130" t="s">
        <v>63</v>
      </c>
      <c r="BC266" s="57093">
        <v>46022.614849537036</v>
      </c>
      <c r="BD266" s="33130" t="s">
        <v>63</v>
      </c>
      <c r="BE266" s="33128">
        <v>51.41</v>
      </c>
      <c r="BF266" s="33128"/>
      <c r="BG266" s="33129"/>
      <c r="BH266" s="57093">
        <v>46023.61454861111</v>
      </c>
      <c r="BI266" s="33130" t="s">
        <v>63</v>
      </c>
      <c r="BJ266" s="57093">
        <v>46203.61431712963</v>
      </c>
      <c r="BK266" s="33130" t="s">
        <v>63</v>
      </c>
      <c r="BL266" s="33128">
        <v>52.92</v>
      </c>
      <c r="BM266" s="33128"/>
      <c r="BN266" s="33129"/>
      <c r="BO266" s="57093">
        <v>46204.61402777778</v>
      </c>
      <c r="BP266" s="33130" t="s">
        <v>63</v>
      </c>
      <c r="BQ266" s="57093">
        <v>46387.61387731481</v>
      </c>
      <c r="BR266" s="33130" t="s">
        <v>63</v>
      </c>
      <c r="BS266" s="33128">
        <v>52.92</v>
      </c>
      <c r="BT266" s="33128"/>
      <c r="BU266" s="33129"/>
      <c r="BV266" s="57093">
        <v>46388.613541666666</v>
      </c>
      <c r="BW266" s="33130" t="s">
        <v>63</v>
      </c>
      <c r="BX266" s="57093">
        <v>46568.61331018519</v>
      </c>
      <c r="BY266" s="33130" t="s">
        <v>63</v>
      </c>
      <c r="BZ266" s="33128">
        <v>47.95</v>
      </c>
      <c r="CA266" s="33128"/>
      <c r="CB266" s="33129"/>
      <c r="CC266" s="57093">
        <v>46569.61309027778</v>
      </c>
      <c r="CD266" s="33130" t="s">
        <v>63</v>
      </c>
      <c r="CE266" s="57093">
        <v>46752.61300925926</v>
      </c>
      <c r="CF266" s="33130" t="s">
        <v>63</v>
      </c>
      <c r="CG266" s="33128">
        <v>47.95</v>
      </c>
      <c r="CH266" s="33128"/>
      <c r="CI266" s="33129"/>
      <c r="CJ266" s="57093">
        <v>46753</v>
      </c>
      <c r="CK266" s="33130" t="s">
        <v>63</v>
      </c>
      <c r="CL266" s="57093">
        <v>46934.61203703703</v>
      </c>
      <c r="CM266" s="33130" t="s">
        <v>63</v>
      </c>
      <c r="CN266" s="33128">
        <v>56.11</v>
      </c>
      <c r="CO266" s="33128"/>
      <c r="CP266" s="33129"/>
      <c r="CQ266" s="57093">
        <v>46935.611284722225</v>
      </c>
      <c r="CR266" s="33130" t="s">
        <v>63</v>
      </c>
      <c r="CS266" s="57093">
        <v>47118.611759259256</v>
      </c>
      <c r="CT266" s="33131" t="s">
        <v>63</v>
      </c>
      <c r="CU266" s="33132"/>
      <c r="CV266"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6" s="33123">
        <f>STRCHECKDATE(V267:CU267)</f>
      </c>
      <c r="CX266" s="33124"/>
      <c r="CY266" s="33124" t="str">
        <f>IF(T266="","",T266)</f>
        <v/>
      </c>
      <c r="CZ266" s="33124"/>
      <c r="DA266" s="33124"/>
      <c r="DB266" s="33125">
        <v>0</v>
      </c>
    </row>
    <row s="57860" customFormat="1" customHeight="1" ht="14.25">
      <c r="A267" s="33106"/>
      <c r="B267" s="33106"/>
      <c r="C267" s="33106"/>
      <c r="D267" s="33106"/>
      <c r="E267" s="33107"/>
      <c r="F267" s="33107"/>
      <c r="G267" s="33107"/>
      <c r="H267" s="33107"/>
      <c r="I267" s="33108"/>
      <c r="J267" s="33108" t="str">
        <f>I260&amp;".1"</f>
        <v>1.13.1.1.1</v>
      </c>
      <c r="K267" s="33109"/>
      <c r="L267" s="33110"/>
      <c r="M267" s="33111"/>
      <c r="N267" s="33111"/>
      <c r="O267" s="33111"/>
      <c r="P267" s="33112"/>
      <c r="Q267" s="33112"/>
      <c r="R267" s="33114"/>
      <c r="S267" s="33135"/>
      <c r="T267" s="33117"/>
      <c r="U267" s="33117"/>
      <c r="V267" s="33136"/>
      <c r="W267" s="33136"/>
      <c r="X267" s="33137" t="str">
        <f>Y266&amp;"-"&amp;AA266</f>
        <v>-</v>
      </c>
      <c r="Y267" s="33138"/>
      <c r="Z267" s="33130"/>
      <c r="AA267" s="33138"/>
      <c r="AB267" s="33130"/>
      <c r="AC267" s="33136"/>
      <c r="AD267" s="33136"/>
      <c r="AE267" s="33137" t="str">
        <f>AF266&amp;"-"&amp;AH266</f>
        <v>45292.616435185184-45473.61625</v>
      </c>
      <c r="AF267" s="33138"/>
      <c r="AG267" s="33130"/>
      <c r="AH267" s="33139"/>
      <c r="AI267" s="33130"/>
      <c r="AJ267" s="33136"/>
      <c r="AK267" s="33136"/>
      <c r="AL267" s="33137" t="str">
        <f>AM266&amp;"-"&amp;AO266</f>
        <v>45474.61607638889-45657.615694444445</v>
      </c>
      <c r="AM267" s="33138"/>
      <c r="AN267" s="33130"/>
      <c r="AO267" s="33138"/>
      <c r="AP267" s="33130"/>
      <c r="AQ267" s="33136"/>
      <c r="AR267" s="33136"/>
      <c r="AS267" s="33137" t="str">
        <f>AT266&amp;"-"&amp;AV266</f>
        <v>45658.61539351852-45838.61518518518</v>
      </c>
      <c r="AT267" s="33138"/>
      <c r="AU267" s="33130"/>
      <c r="AV267" s="33138"/>
      <c r="AW267" s="33130"/>
      <c r="AX267" s="33136"/>
      <c r="AY267" s="33136"/>
      <c r="AZ267" s="33137" t="str">
        <f>BA266&amp;"-"&amp;BC266</f>
        <v>45839.61497685185-46022.614849537036</v>
      </c>
      <c r="BA267" s="33138"/>
      <c r="BB267" s="33130"/>
      <c r="BC267" s="33138"/>
      <c r="BD267" s="33130"/>
      <c r="BE267" s="33136"/>
      <c r="BF267" s="33136"/>
      <c r="BG267" s="33137" t="str">
        <f>BH266&amp;"-"&amp;BJ266</f>
        <v>46023.61454861111-46203.61431712963</v>
      </c>
      <c r="BH267" s="33138"/>
      <c r="BI267" s="33130"/>
      <c r="BJ267" s="33138"/>
      <c r="BK267" s="33130"/>
      <c r="BL267" s="33136"/>
      <c r="BM267" s="33136"/>
      <c r="BN267" s="33137" t="str">
        <f>BO266&amp;"-"&amp;BQ266</f>
        <v>46204.61402777778-46387.61387731481</v>
      </c>
      <c r="BO267" s="33138"/>
      <c r="BP267" s="33130"/>
      <c r="BQ267" s="33138"/>
      <c r="BR267" s="33130"/>
      <c r="BS267" s="33136"/>
      <c r="BT267" s="33136"/>
      <c r="BU267" s="33137" t="str">
        <f>BV266&amp;"-"&amp;BX266</f>
        <v>46388.613541666666-46568.61331018519</v>
      </c>
      <c r="BV267" s="33138"/>
      <c r="BW267" s="33130"/>
      <c r="BX267" s="33138"/>
      <c r="BY267" s="33130"/>
      <c r="BZ267" s="33136"/>
      <c r="CA267" s="33136"/>
      <c r="CB267" s="33137" t="str">
        <f>CC266&amp;"-"&amp;CE266</f>
        <v>46569.61309027778-46752.61300925926</v>
      </c>
      <c r="CC267" s="33138"/>
      <c r="CD267" s="33130"/>
      <c r="CE267" s="33138"/>
      <c r="CF267" s="33130"/>
      <c r="CG267" s="33136"/>
      <c r="CH267" s="33136"/>
      <c r="CI267" s="33137" t="str">
        <f>CJ266&amp;"-"&amp;CL266</f>
        <v>46753-46934.61203703703</v>
      </c>
      <c r="CJ267" s="33138"/>
      <c r="CK267" s="33130"/>
      <c r="CL267" s="33138"/>
      <c r="CM267" s="33130"/>
      <c r="CN267" s="33136"/>
      <c r="CO267" s="33136"/>
      <c r="CP267" s="33137" t="str">
        <f>CQ266&amp;"-"&amp;CS266</f>
        <v>46935.611284722225-47118.611759259256</v>
      </c>
      <c r="CQ267" s="33138"/>
      <c r="CR267" s="33130"/>
      <c r="CS267" s="33138"/>
      <c r="CT267" s="33131"/>
      <c r="CU267" s="33140"/>
      <c r="CV267" s="33133"/>
      <c r="CW267" s="33123"/>
      <c r="CX267" s="33124"/>
      <c r="CY267" s="33124" t="str">
        <f>IF(T267="","",T267)</f>
        <v/>
      </c>
      <c r="CZ267" s="33124"/>
      <c r="DA267" s="33124"/>
      <c r="DB267" s="33125">
        <v>0</v>
      </c>
    </row>
    <row s="57861" customFormat="1" customHeight="1" ht="21">
      <c r="A268" s="33106"/>
      <c r="B268" s="33106"/>
      <c r="C268" s="33106"/>
      <c r="D268" s="33106"/>
      <c r="E268" s="33107"/>
      <c r="F268" s="33107"/>
      <c r="G268" s="33107"/>
      <c r="H268" s="33107"/>
      <c r="I268" s="33108"/>
      <c r="J268" s="33109" t="str">
        <f>I260&amp;".1"</f>
        <v>1.13.1.1.1</v>
      </c>
      <c r="K268" s="33106"/>
      <c r="L268" s="33110"/>
      <c r="M268" s="33111"/>
      <c r="N268" s="33111"/>
      <c r="O268" s="33111"/>
      <c r="P268" s="33112"/>
      <c r="Q268" s="33112"/>
      <c r="R268" s="33142"/>
      <c r="S268" s="36202"/>
      <c r="T268" s="36203" t="s">
        <v>622</v>
      </c>
      <c r="U268" s="36204"/>
      <c r="V268" s="36205"/>
      <c r="W268" s="36206"/>
      <c r="X268" s="36207"/>
      <c r="Y268" s="36208"/>
      <c r="Z268" s="36209"/>
      <c r="AA268" s="36210"/>
      <c r="AB268" s="36211"/>
      <c r="AC268" s="36212"/>
      <c r="AD268" s="36213"/>
      <c r="AE268" s="36214"/>
      <c r="AF268" s="36215"/>
      <c r="AG268" s="36216"/>
      <c r="AH268" s="36217"/>
      <c r="AI268" s="36218"/>
      <c r="AJ268" s="36219"/>
      <c r="AK268" s="36220"/>
      <c r="AL268" s="36221"/>
      <c r="AM268" s="36222"/>
      <c r="AN268" s="36223"/>
      <c r="AO268" s="36224"/>
      <c r="AP268" s="36225"/>
      <c r="AQ268" s="36226"/>
      <c r="AR268" s="36227"/>
      <c r="AS268" s="36228"/>
      <c r="AT268" s="36229"/>
      <c r="AU268" s="36230"/>
      <c r="AV268" s="36231"/>
      <c r="AW268" s="36232"/>
      <c r="AX268" s="36233"/>
      <c r="AY268" s="36234"/>
      <c r="AZ268" s="36235"/>
      <c r="BA268" s="36236"/>
      <c r="BB268" s="36237"/>
      <c r="BC268" s="36238"/>
      <c r="BD268" s="36239"/>
      <c r="BE268" s="36240"/>
      <c r="BF268" s="36241"/>
      <c r="BG268" s="36242"/>
      <c r="BH268" s="36243"/>
      <c r="BI268" s="36244"/>
      <c r="BJ268" s="36245"/>
      <c r="BK268" s="36246"/>
      <c r="BL268" s="36247"/>
      <c r="BM268" s="36248"/>
      <c r="BN268" s="36249"/>
      <c r="BO268" s="36250"/>
      <c r="BP268" s="36251"/>
      <c r="BQ268" s="36252"/>
      <c r="BR268" s="36253"/>
      <c r="BS268" s="36254"/>
      <c r="BT268" s="36255"/>
      <c r="BU268" s="36256"/>
      <c r="BV268" s="36257"/>
      <c r="BW268" s="36258"/>
      <c r="BX268" s="36259"/>
      <c r="BY268" s="36260"/>
      <c r="BZ268" s="36261"/>
      <c r="CA268" s="36262"/>
      <c r="CB268" s="36263"/>
      <c r="CC268" s="36264"/>
      <c r="CD268" s="36265"/>
      <c r="CE268" s="36266"/>
      <c r="CF268" s="36267"/>
      <c r="CG268" s="36268"/>
      <c r="CH268" s="36269"/>
      <c r="CI268" s="36270"/>
      <c r="CJ268" s="36271"/>
      <c r="CK268" s="36272"/>
      <c r="CL268" s="36273"/>
      <c r="CM268" s="36274"/>
      <c r="CN268" s="36275"/>
      <c r="CO268" s="36276"/>
      <c r="CP268" s="36277"/>
      <c r="CQ268" s="36278"/>
      <c r="CR268" s="36279"/>
      <c r="CS268" s="36280"/>
      <c r="CT268" s="36281"/>
      <c r="CU268" s="36282"/>
      <c r="CV268" s="33224" t="s">
        <v>623</v>
      </c>
      <c r="CW268" s="33123"/>
      <c r="CX268" s="33124"/>
      <c r="CY268" s="33124" t="str">
        <f>IF(T268="","",T268)</f>
        <v>Добавить значение признака дифференциации</v>
      </c>
      <c r="CZ268" s="33124"/>
      <c r="DA268" s="33124"/>
      <c r="DB268" s="33125">
        <v>0</v>
      </c>
    </row>
    <row s="57943" customFormat="1" customHeight="1" ht="21">
      <c r="A269" s="21621"/>
      <c r="B269" s="21621"/>
      <c r="C269" s="21621"/>
      <c r="D269" s="21621"/>
      <c r="E269" s="21622"/>
      <c r="F269" s="21622" t="s">
        <v>156</v>
      </c>
      <c r="G269" s="21622"/>
      <c r="H269" s="21622"/>
      <c r="I269" s="21638"/>
      <c r="J269" s="21621"/>
      <c r="K269" s="21621"/>
      <c r="L269" s="21624"/>
      <c r="M269" s="21639"/>
      <c r="N269" s="21639"/>
      <c r="O269" s="21639"/>
      <c r="P269" s="21640"/>
      <c r="Q269" s="21640"/>
      <c r="R269" s="21641"/>
      <c r="S269" s="26079"/>
      <c r="T269" s="26080" t="s">
        <v>551</v>
      </c>
      <c r="U269" s="26081"/>
      <c r="V269" s="26082"/>
      <c r="W269" s="26083"/>
      <c r="X269" s="26084"/>
      <c r="Y269" s="26085"/>
      <c r="Z269" s="26086"/>
      <c r="AA269" s="26087"/>
      <c r="AB269" s="26088"/>
      <c r="AC269" s="26089"/>
      <c r="AD269" s="26090"/>
      <c r="AE269" s="26091"/>
      <c r="AF269" s="26092"/>
      <c r="AG269" s="26093"/>
      <c r="AH269" s="26094"/>
      <c r="AI269" s="26095"/>
      <c r="AJ269" s="26096"/>
      <c r="AK269" s="26097"/>
      <c r="AL269" s="26098"/>
      <c r="AM269" s="26099"/>
      <c r="AN269" s="26100"/>
      <c r="AO269" s="26101"/>
      <c r="AP269" s="26102"/>
      <c r="AQ269" s="26103"/>
      <c r="AR269" s="26104"/>
      <c r="AS269" s="26105"/>
      <c r="AT269" s="26106"/>
      <c r="AU269" s="26107"/>
      <c r="AV269" s="26108"/>
      <c r="AW269" s="26109"/>
      <c r="AX269" s="26110"/>
      <c r="AY269" s="26111"/>
      <c r="AZ269" s="26112"/>
      <c r="BA269" s="26113"/>
      <c r="BB269" s="26114"/>
      <c r="BC269" s="26115"/>
      <c r="BD269" s="26116"/>
      <c r="BE269" s="26117"/>
      <c r="BF269" s="26118"/>
      <c r="BG269" s="26119"/>
      <c r="BH269" s="26120"/>
      <c r="BI269" s="26121"/>
      <c r="BJ269" s="26122"/>
      <c r="BK269" s="26123"/>
      <c r="BL269" s="26124"/>
      <c r="BM269" s="26125"/>
      <c r="BN269" s="26126"/>
      <c r="BO269" s="26127"/>
      <c r="BP269" s="26128"/>
      <c r="BQ269" s="26129"/>
      <c r="BR269" s="26130"/>
      <c r="BS269" s="26131"/>
      <c r="BT269" s="26132"/>
      <c r="BU269" s="26133"/>
      <c r="BV269" s="26134"/>
      <c r="BW269" s="26135"/>
      <c r="BX269" s="26136"/>
      <c r="BY269" s="26137"/>
      <c r="BZ269" s="26138"/>
      <c r="CA269" s="26139"/>
      <c r="CB269" s="26140"/>
      <c r="CC269" s="26141"/>
      <c r="CD269" s="26142"/>
      <c r="CE269" s="26143"/>
      <c r="CF269" s="26144"/>
      <c r="CG269" s="26145"/>
      <c r="CH269" s="26146"/>
      <c r="CI269" s="26147"/>
      <c r="CJ269" s="26148"/>
      <c r="CK269" s="26149"/>
      <c r="CL269" s="26150"/>
      <c r="CM269" s="26151"/>
      <c r="CN269" s="26152"/>
      <c r="CO269" s="26153"/>
      <c r="CP269" s="26154"/>
      <c r="CQ269" s="26155"/>
      <c r="CR269" s="26156"/>
      <c r="CS269" s="26157"/>
      <c r="CT269" s="26158"/>
      <c r="CU269" s="26159"/>
      <c r="CV269" s="26160"/>
      <c r="CW269" s="21281"/>
      <c r="CX269" s="21633"/>
      <c r="CY269" s="21633" t="str">
        <f>IF(T269="","",T269)</f>
        <v>Добавить группу потребителей</v>
      </c>
      <c r="CZ269" s="21633"/>
      <c r="DA269" s="21633"/>
      <c r="DB269" s="21020">
        <v>0</v>
      </c>
    </row>
    <row s="58026" customFormat="1" customHeight="1" ht="14.25">
      <c r="A270" s="21621"/>
      <c r="B270" s="21621"/>
      <c r="C270" s="21621"/>
      <c r="D270" s="21621"/>
      <c r="E270" s="21622"/>
      <c r="F270" s="21622" t="s">
        <v>156</v>
      </c>
      <c r="G270" s="21622"/>
      <c r="H270" s="21623"/>
      <c r="I270" s="21621"/>
      <c r="J270" s="21621"/>
      <c r="K270" s="21621"/>
      <c r="L270" s="21624"/>
      <c r="M270" s="21625"/>
      <c r="N270" s="21625"/>
      <c r="O270" s="21264"/>
      <c r="P270" s="21910"/>
      <c r="Q270" s="21911"/>
      <c r="R270" s="21912"/>
      <c r="S270" s="26162"/>
      <c r="T270" s="26163" t="s">
        <v>624</v>
      </c>
      <c r="U270" s="26164"/>
      <c r="V270" s="26165"/>
      <c r="W270" s="26166"/>
      <c r="X270" s="26167"/>
      <c r="Y270" s="26168"/>
      <c r="Z270" s="26169"/>
      <c r="AA270" s="26170"/>
      <c r="AB270" s="26171"/>
      <c r="AC270" s="26172"/>
      <c r="AD270" s="26173"/>
      <c r="AE270" s="26174"/>
      <c r="AF270" s="26175"/>
      <c r="AG270" s="26176"/>
      <c r="AH270" s="26177"/>
      <c r="AI270" s="26178"/>
      <c r="AJ270" s="26179"/>
      <c r="AK270" s="26180"/>
      <c r="AL270" s="26181"/>
      <c r="AM270" s="26182"/>
      <c r="AN270" s="26183"/>
      <c r="AO270" s="26184"/>
      <c r="AP270" s="26185"/>
      <c r="AQ270" s="26186"/>
      <c r="AR270" s="26187"/>
      <c r="AS270" s="26188"/>
      <c r="AT270" s="26189"/>
      <c r="AU270" s="26190"/>
      <c r="AV270" s="26191"/>
      <c r="AW270" s="26192"/>
      <c r="AX270" s="26193"/>
      <c r="AY270" s="26194"/>
      <c r="AZ270" s="26195"/>
      <c r="BA270" s="26196"/>
      <c r="BB270" s="26197"/>
      <c r="BC270" s="26198"/>
      <c r="BD270" s="26199"/>
      <c r="BE270" s="26200"/>
      <c r="BF270" s="26201"/>
      <c r="BG270" s="26202"/>
      <c r="BH270" s="26203"/>
      <c r="BI270" s="26204"/>
      <c r="BJ270" s="26205"/>
      <c r="BK270" s="26206"/>
      <c r="BL270" s="26207"/>
      <c r="BM270" s="26208"/>
      <c r="BN270" s="26209"/>
      <c r="BO270" s="26210"/>
      <c r="BP270" s="26211"/>
      <c r="BQ270" s="26212"/>
      <c r="BR270" s="26213"/>
      <c r="BS270" s="26214"/>
      <c r="BT270" s="26215"/>
      <c r="BU270" s="26216"/>
      <c r="BV270" s="26217"/>
      <c r="BW270" s="26218"/>
      <c r="BX270" s="26219"/>
      <c r="BY270" s="26220"/>
      <c r="BZ270" s="26221"/>
      <c r="CA270" s="26222"/>
      <c r="CB270" s="26223"/>
      <c r="CC270" s="26224"/>
      <c r="CD270" s="26225"/>
      <c r="CE270" s="26226"/>
      <c r="CF270" s="26227"/>
      <c r="CG270" s="26228"/>
      <c r="CH270" s="26229"/>
      <c r="CI270" s="26230"/>
      <c r="CJ270" s="26231"/>
      <c r="CK270" s="26232"/>
      <c r="CL270" s="26233"/>
      <c r="CM270" s="26234"/>
      <c r="CN270" s="26235"/>
      <c r="CO270" s="26236"/>
      <c r="CP270" s="26237"/>
      <c r="CQ270" s="26238"/>
      <c r="CR270" s="26239"/>
      <c r="CS270" s="26240"/>
      <c r="CT270" s="26241"/>
      <c r="CU270" s="26242"/>
      <c r="CV270" s="26243"/>
      <c r="CW270" s="21281"/>
      <c r="CX270" s="21633"/>
      <c r="CY270" s="21633" t="str">
        <f>IF(T270="","",T270)</f>
        <v>Добавить наименование признака дифференциации</v>
      </c>
      <c r="CZ270" s="21633"/>
      <c r="DA270" s="21633"/>
      <c r="DB270" s="21020">
        <v>0</v>
      </c>
    </row>
    <row s="58109" customFormat="1" customHeight="1" ht="14.25">
      <c r="A271" s="21996"/>
      <c r="B271" s="21996"/>
      <c r="C271" s="21996"/>
      <c r="D271" s="21996"/>
      <c r="E271" s="21622"/>
      <c r="F271" s="21623" t="s">
        <v>156</v>
      </c>
      <c r="G271" s="21996"/>
      <c r="H271" s="21996"/>
      <c r="I271" s="21996"/>
      <c r="J271" s="21996"/>
      <c r="K271" s="21996"/>
      <c r="L271" s="21997"/>
      <c r="M271" s="21998"/>
      <c r="N271" s="21998"/>
      <c r="O271" s="21281"/>
      <c r="P271" s="21999"/>
      <c r="Q271" s="22000"/>
      <c r="R271" s="21999"/>
      <c r="S271" s="22001"/>
      <c r="T271" s="22002" t="s">
        <v>290</v>
      </c>
      <c r="U271" s="21260"/>
      <c r="V271" s="21260"/>
      <c r="W271" s="21260"/>
      <c r="X271" s="21260"/>
      <c r="Y271" s="21260"/>
      <c r="Z271" s="21260"/>
      <c r="AA271" s="21260"/>
      <c r="AB271" s="21260"/>
      <c r="AC271" s="21260"/>
      <c r="AD271" s="21260"/>
      <c r="AE271" s="21260"/>
      <c r="AF271" s="21260"/>
      <c r="AG271" s="21260"/>
      <c r="AH271" s="21260"/>
      <c r="AI271" s="21260"/>
      <c r="AJ271" s="21260"/>
      <c r="AK271" s="21260"/>
      <c r="AL271" s="21260"/>
      <c r="AM271" s="21260"/>
      <c r="AN271" s="21260"/>
      <c r="AO271" s="21260"/>
      <c r="AP271" s="21260"/>
      <c r="AQ271" s="21260"/>
      <c r="AR271" s="21260"/>
      <c r="AS271" s="21260"/>
      <c r="AT271" s="21260"/>
      <c r="AU271" s="21260"/>
      <c r="AV271" s="21260"/>
      <c r="AW271" s="21260"/>
      <c r="AX271" s="21260"/>
      <c r="AY271" s="21260"/>
      <c r="AZ271" s="21260"/>
      <c r="BA271" s="21260"/>
      <c r="BB271" s="21260"/>
      <c r="BC271" s="21260"/>
      <c r="BD271" s="21260"/>
      <c r="BE271" s="21260"/>
      <c r="BF271" s="21260"/>
      <c r="BG271" s="21260"/>
      <c r="BH271" s="21260"/>
      <c r="BI271" s="21260"/>
      <c r="BJ271" s="21260"/>
      <c r="BK271" s="21260"/>
      <c r="BL271" s="21260"/>
      <c r="BM271" s="21260"/>
      <c r="BN271" s="21260"/>
      <c r="BO271" s="21260"/>
      <c r="BP271" s="21260"/>
      <c r="BQ271" s="21260"/>
      <c r="BR271" s="21260"/>
      <c r="BS271" s="21260"/>
      <c r="BT271" s="21260"/>
      <c r="BU271" s="21260"/>
      <c r="BV271" s="21260"/>
      <c r="BW271" s="21260"/>
      <c r="BX271" s="21260"/>
      <c r="BY271" s="21260"/>
      <c r="BZ271" s="21260"/>
      <c r="CA271" s="21260"/>
      <c r="CB271" s="21260"/>
      <c r="CC271" s="21260"/>
      <c r="CD271" s="21260"/>
      <c r="CE271" s="21260"/>
      <c r="CF271" s="21260"/>
      <c r="CG271" s="21260"/>
      <c r="CH271" s="21260"/>
      <c r="CI271" s="21260"/>
      <c r="CJ271" s="21260"/>
      <c r="CK271" s="21260"/>
      <c r="CL271" s="21260"/>
      <c r="CM271" s="21260"/>
      <c r="CN271" s="21260"/>
      <c r="CO271" s="21260"/>
      <c r="CP271" s="21260"/>
      <c r="CQ271" s="21260"/>
      <c r="CR271" s="21260"/>
      <c r="CS271" s="21260"/>
      <c r="CT271" s="21260"/>
      <c r="CU271" s="21260"/>
      <c r="CV271" s="21260"/>
      <c r="CW271" s="21281"/>
      <c r="CX271" s="21633"/>
      <c r="CY271" s="21633" t="str">
        <f>IF(T271="","",T271)</f>
        <v>Добавить централизованную систему для дифференциации</v>
      </c>
      <c r="CZ271" s="21633"/>
      <c r="DA271" s="21633"/>
      <c r="DB271" s="21281">
        <v>0</v>
      </c>
    </row>
    <row s="58110" customFormat="1" customHeight="1" ht="23.25">
      <c r="A272" s="21621"/>
      <c r="B272" s="21621" t="s">
        <v>352</v>
      </c>
      <c r="C272" s="21621"/>
      <c r="D272" s="21621"/>
      <c r="E272" s="21622"/>
      <c r="F272" s="21623" t="s">
        <v>164</v>
      </c>
      <c r="G272" s="21621"/>
      <c r="H272" s="21621"/>
      <c r="I272" s="21621"/>
      <c r="J272" s="21621"/>
      <c r="K272" s="21621"/>
      <c r="L272" s="21624"/>
      <c r="M272" s="21625"/>
      <c r="N272" s="21625"/>
      <c r="O272" s="21625"/>
      <c r="P272" s="21626"/>
      <c r="Q272" s="21627"/>
      <c r="R272" s="21628"/>
      <c r="S272" s="21629" t="str">
        <f>INDEX(PT_DIFFERENTIATION_NUM_TER,MATCH(B272,PT_DIFFERENTIATION_TER_ID,0))</f>
        <v>1.14</v>
      </c>
      <c r="T272" s="21630" t="s">
        <v>536</v>
      </c>
      <c r="U272" s="21631"/>
      <c r="V272" s="21025"/>
      <c r="W272" s="21026"/>
      <c r="X272" s="21026"/>
      <c r="Y272" s="21026"/>
      <c r="Z272" s="21026"/>
      <c r="AA272" s="21026"/>
      <c r="AB272" s="21027"/>
      <c r="AC272" s="21025" t="str">
        <f>INDEX(PT_DIFFERENTIATION_TER,MATCH(B272,PT_DIFFERENTIATION_TER_ID,0))</f>
        <v>Территория 14</v>
      </c>
      <c r="AD272" s="21026"/>
      <c r="AE272" s="21026"/>
      <c r="AF272" s="21026"/>
      <c r="AG272" s="21026"/>
      <c r="AH272" s="21026"/>
      <c r="AI272" s="21026"/>
      <c r="AJ272" s="21025"/>
      <c r="AK272" s="21026"/>
      <c r="AL272" s="21026"/>
      <c r="AM272" s="21026"/>
      <c r="AN272" s="21026"/>
      <c r="AO272" s="21026"/>
      <c r="AP272" s="21027"/>
      <c r="AQ272" s="21025"/>
      <c r="AR272" s="21026"/>
      <c r="AS272" s="21026"/>
      <c r="AT272" s="21026"/>
      <c r="AU272" s="21026"/>
      <c r="AV272" s="21026"/>
      <c r="AW272" s="21027"/>
      <c r="AX272" s="21025"/>
      <c r="AY272" s="21026"/>
      <c r="AZ272" s="21026"/>
      <c r="BA272" s="21026"/>
      <c r="BB272" s="21026"/>
      <c r="BC272" s="21026"/>
      <c r="BD272" s="21027"/>
      <c r="BE272" s="21025"/>
      <c r="BF272" s="21026"/>
      <c r="BG272" s="21026"/>
      <c r="BH272" s="21026"/>
      <c r="BI272" s="21026"/>
      <c r="BJ272" s="21026"/>
      <c r="BK272" s="21027"/>
      <c r="BL272" s="21025"/>
      <c r="BM272" s="21026"/>
      <c r="BN272" s="21026"/>
      <c r="BO272" s="21026"/>
      <c r="BP272" s="21026"/>
      <c r="BQ272" s="21026"/>
      <c r="BR272" s="21027"/>
      <c r="BS272" s="21025"/>
      <c r="BT272" s="21026"/>
      <c r="BU272" s="21026"/>
      <c r="BV272" s="21026"/>
      <c r="BW272" s="21026"/>
      <c r="BX272" s="21026"/>
      <c r="BY272" s="21027"/>
      <c r="BZ272" s="21025"/>
      <c r="CA272" s="21026"/>
      <c r="CB272" s="21026"/>
      <c r="CC272" s="21026"/>
      <c r="CD272" s="21026"/>
      <c r="CE272" s="21026"/>
      <c r="CF272" s="21027"/>
      <c r="CG272" s="21025"/>
      <c r="CH272" s="21026"/>
      <c r="CI272" s="21026"/>
      <c r="CJ272" s="21026"/>
      <c r="CK272" s="21026"/>
      <c r="CL272" s="21026"/>
      <c r="CM272" s="21027"/>
      <c r="CN272" s="21025"/>
      <c r="CO272" s="21026"/>
      <c r="CP272" s="21026"/>
      <c r="CQ272" s="21026"/>
      <c r="CR272" s="21026"/>
      <c r="CS272" s="21026"/>
      <c r="CT272" s="21027"/>
      <c r="CU272" s="21027"/>
      <c r="CV272" s="21632" t="s">
        <v>537</v>
      </c>
      <c r="CW272" s="21281"/>
      <c r="CX272" s="21633"/>
      <c r="CY272" s="21633" t="str">
        <f>IF(T272="","",T272)</f>
        <v>Территория действия тарифа</v>
      </c>
      <c r="CZ272" s="21633"/>
      <c r="DA272" s="21633"/>
      <c r="DB272" s="21020">
        <v>0</v>
      </c>
    </row>
    <row s="58111" customFormat="1" customHeight="1" ht="23.25">
      <c r="A273" s="21621"/>
      <c r="B273" s="21621"/>
      <c r="C273" s="21621" t="s">
        <v>353</v>
      </c>
      <c r="D273" s="21621"/>
      <c r="E273" s="21622"/>
      <c r="F273" s="21622" t="s">
        <v>160</v>
      </c>
      <c r="G273" s="21623">
        <v>1</v>
      </c>
      <c r="H273" s="21621"/>
      <c r="I273" s="21621"/>
      <c r="J273" s="21621"/>
      <c r="K273" s="21621"/>
      <c r="L273" s="21624"/>
      <c r="M273" s="21625"/>
      <c r="N273" s="21625"/>
      <c r="O273" s="21625"/>
      <c r="P273" s="21635"/>
      <c r="Q273" s="21627"/>
      <c r="R273" s="21628"/>
      <c r="S273" s="21629" t="str">
        <f>INDEX(PT_DIFFERENTIATION_NUM_CS,MATCH(C273,PT_DIFFERENTIATION_CS_ID,0))</f>
        <v>1.14.1</v>
      </c>
      <c r="T273" s="21636" t="s">
        <v>617</v>
      </c>
      <c r="U273" s="21631"/>
      <c r="V273" s="21025"/>
      <c r="W273" s="21026"/>
      <c r="X273" s="21026"/>
      <c r="Y273" s="21026"/>
      <c r="Z273" s="21026"/>
      <c r="AA273" s="21026"/>
      <c r="AB273" s="21027"/>
      <c r="AC273" s="21025" t="str">
        <f>INDEX(PT_DIFFERENTIATION_CS,MATCH(C273,PT_DIFFERENTIATION_CS_ID,0))</f>
        <v>МКР им. С. Лазо</v>
      </c>
      <c r="AD273" s="21026"/>
      <c r="AE273" s="21026"/>
      <c r="AF273" s="21026"/>
      <c r="AG273" s="21026"/>
      <c r="AH273" s="21026"/>
      <c r="AI273" s="21026"/>
      <c r="AJ273" s="21025"/>
      <c r="AK273" s="21026"/>
      <c r="AL273" s="21026"/>
      <c r="AM273" s="21026"/>
      <c r="AN273" s="21026"/>
      <c r="AO273" s="21026"/>
      <c r="AP273" s="21027"/>
      <c r="AQ273" s="21025"/>
      <c r="AR273" s="21026"/>
      <c r="AS273" s="21026"/>
      <c r="AT273" s="21026"/>
      <c r="AU273" s="21026"/>
      <c r="AV273" s="21026"/>
      <c r="AW273" s="21027"/>
      <c r="AX273" s="21025"/>
      <c r="AY273" s="21026"/>
      <c r="AZ273" s="21026"/>
      <c r="BA273" s="21026"/>
      <c r="BB273" s="21026"/>
      <c r="BC273" s="21026"/>
      <c r="BD273" s="21027"/>
      <c r="BE273" s="21025"/>
      <c r="BF273" s="21026"/>
      <c r="BG273" s="21026"/>
      <c r="BH273" s="21026"/>
      <c r="BI273" s="21026"/>
      <c r="BJ273" s="21026"/>
      <c r="BK273" s="21027"/>
      <c r="BL273" s="21025"/>
      <c r="BM273" s="21026"/>
      <c r="BN273" s="21026"/>
      <c r="BO273" s="21026"/>
      <c r="BP273" s="21026"/>
      <c r="BQ273" s="21026"/>
      <c r="BR273" s="21027"/>
      <c r="BS273" s="21025"/>
      <c r="BT273" s="21026"/>
      <c r="BU273" s="21026"/>
      <c r="BV273" s="21026"/>
      <c r="BW273" s="21026"/>
      <c r="BX273" s="21026"/>
      <c r="BY273" s="21027"/>
      <c r="BZ273" s="21025"/>
      <c r="CA273" s="21026"/>
      <c r="CB273" s="21026"/>
      <c r="CC273" s="21026"/>
      <c r="CD273" s="21026"/>
      <c r="CE273" s="21026"/>
      <c r="CF273" s="21027"/>
      <c r="CG273" s="21025"/>
      <c r="CH273" s="21026"/>
      <c r="CI273" s="21026"/>
      <c r="CJ273" s="21026"/>
      <c r="CK273" s="21026"/>
      <c r="CL273" s="21026"/>
      <c r="CM273" s="21027"/>
      <c r="CN273" s="21025"/>
      <c r="CO273" s="21026"/>
      <c r="CP273" s="21026"/>
      <c r="CQ273" s="21026"/>
      <c r="CR273" s="21026"/>
      <c r="CS273" s="21026"/>
      <c r="CT273" s="21027"/>
      <c r="CU273" s="21027"/>
      <c r="CV273" s="21632" t="s">
        <v>618</v>
      </c>
      <c r="CW273" s="21281"/>
      <c r="CX273" s="21633"/>
      <c r="CY273" s="21633" t="str">
        <f>IF(T273="","",T273)</f>
        <v>Наименование централизованной системы холодного водоснабжения</v>
      </c>
      <c r="CZ273" s="21633"/>
      <c r="DA273" s="21633"/>
      <c r="DB273" s="21020">
        <v>0</v>
      </c>
    </row>
    <row s="58112" customFormat="1" customHeight="1" ht="23.25">
      <c r="A274" s="21621"/>
      <c r="B274" s="21621"/>
      <c r="C274" s="21621"/>
      <c r="D274" s="21621"/>
      <c r="E274" s="21622"/>
      <c r="F274" s="21622" t="s">
        <v>160</v>
      </c>
      <c r="G274" s="21622"/>
      <c r="H274" s="21622"/>
      <c r="I274" s="21638" t="str">
        <f>S273&amp;".1"</f>
        <v>1.14.1.1</v>
      </c>
      <c r="J274" s="21621"/>
      <c r="K274" s="21621"/>
      <c r="L274" s="21624"/>
      <c r="M274" s="21639"/>
      <c r="N274" s="21639"/>
      <c r="O274" s="21639"/>
      <c r="P274" s="21640">
        <v>1</v>
      </c>
      <c r="Q274" s="21640"/>
      <c r="R274" s="21641"/>
      <c r="S274" s="21629" t="str">
        <f>$I274</f>
        <v>1.14.1.1</v>
      </c>
      <c r="T274" s="21642" t="s">
        <v>619</v>
      </c>
      <c r="U274" s="21631"/>
      <c r="V274" s="21038"/>
      <c r="W274" s="21039"/>
      <c r="X274" s="21039"/>
      <c r="Y274" s="21039"/>
      <c r="Z274" s="21039"/>
      <c r="AA274" s="21039"/>
      <c r="AB274" s="21040"/>
      <c r="AC274" s="21643"/>
      <c r="AD274" s="21644"/>
      <c r="AE274" s="21644"/>
      <c r="AF274" s="21644"/>
      <c r="AG274" s="21644"/>
      <c r="AH274" s="21644"/>
      <c r="AI274" s="21644"/>
      <c r="AJ274" s="21038"/>
      <c r="AK274" s="21039"/>
      <c r="AL274" s="21039"/>
      <c r="AM274" s="21039"/>
      <c r="AN274" s="21039"/>
      <c r="AO274" s="21039"/>
      <c r="AP274" s="21040"/>
      <c r="AQ274" s="21038"/>
      <c r="AR274" s="21039"/>
      <c r="AS274" s="21039"/>
      <c r="AT274" s="21039"/>
      <c r="AU274" s="21039"/>
      <c r="AV274" s="21039"/>
      <c r="AW274" s="21040"/>
      <c r="AX274" s="21038"/>
      <c r="AY274" s="21039"/>
      <c r="AZ274" s="21039"/>
      <c r="BA274" s="21039"/>
      <c r="BB274" s="21039"/>
      <c r="BC274" s="21039"/>
      <c r="BD274" s="21040"/>
      <c r="BE274" s="21038"/>
      <c r="BF274" s="21039"/>
      <c r="BG274" s="21039"/>
      <c r="BH274" s="21039"/>
      <c r="BI274" s="21039"/>
      <c r="BJ274" s="21039"/>
      <c r="BK274" s="21040"/>
      <c r="BL274" s="21038"/>
      <c r="BM274" s="21039"/>
      <c r="BN274" s="21039"/>
      <c r="BO274" s="21039"/>
      <c r="BP274" s="21039"/>
      <c r="BQ274" s="21039"/>
      <c r="BR274" s="21040"/>
      <c r="BS274" s="21038"/>
      <c r="BT274" s="21039"/>
      <c r="BU274" s="21039"/>
      <c r="BV274" s="21039"/>
      <c r="BW274" s="21039"/>
      <c r="BX274" s="21039"/>
      <c r="BY274" s="21040"/>
      <c r="BZ274" s="21038"/>
      <c r="CA274" s="21039"/>
      <c r="CB274" s="21039"/>
      <c r="CC274" s="21039"/>
      <c r="CD274" s="21039"/>
      <c r="CE274" s="21039"/>
      <c r="CF274" s="21040"/>
      <c r="CG274" s="21038"/>
      <c r="CH274" s="21039"/>
      <c r="CI274" s="21039"/>
      <c r="CJ274" s="21039"/>
      <c r="CK274" s="21039"/>
      <c r="CL274" s="21039"/>
      <c r="CM274" s="21040"/>
      <c r="CN274" s="21038"/>
      <c r="CO274" s="21039"/>
      <c r="CP274" s="21039"/>
      <c r="CQ274" s="21039"/>
      <c r="CR274" s="21039"/>
      <c r="CS274" s="21039"/>
      <c r="CT274" s="21040"/>
      <c r="CU274" s="21645"/>
      <c r="CV274" s="21632" t="s">
        <v>620</v>
      </c>
      <c r="CW274" s="21281"/>
      <c r="CX274" s="21633"/>
      <c r="CY274" s="21633" t="str">
        <f>IF(T274="","",T274)</f>
        <v>Наименование признака дифференциации</v>
      </c>
      <c r="CZ274" s="21633"/>
      <c r="DA274" s="21633"/>
      <c r="DB274" s="21020">
        <v>0</v>
      </c>
    </row>
    <row s="58113" customFormat="1" customHeight="1" ht="23.25">
      <c r="A275" s="21621"/>
      <c r="B275" s="21621"/>
      <c r="C275" s="21621"/>
      <c r="D275" s="21621"/>
      <c r="E275" s="21622"/>
      <c r="F275" s="21622" t="s">
        <v>160</v>
      </c>
      <c r="G275" s="21622"/>
      <c r="H275" s="21622"/>
      <c r="I275" s="21647"/>
      <c r="J275" s="21638" t="str">
        <f>I274&amp;".1"</f>
        <v>1.14.1.1.1</v>
      </c>
      <c r="K275" s="21621"/>
      <c r="L275" s="21624" t="s">
        <v>545</v>
      </c>
      <c r="M275" s="21639"/>
      <c r="N275" s="21639"/>
      <c r="O275" s="21639"/>
      <c r="P275" s="21640"/>
      <c r="Q275" s="21640">
        <v>1</v>
      </c>
      <c r="R275" s="21648"/>
      <c r="S275" s="21629" t="str">
        <f>$J275</f>
        <v>1.14.1.1.1</v>
      </c>
      <c r="T275" s="21649" t="s">
        <v>546</v>
      </c>
      <c r="U275" s="21631"/>
      <c r="V275" s="21045"/>
      <c r="W275" s="21046"/>
      <c r="X275" s="21046"/>
      <c r="Y275" s="21046"/>
      <c r="Z275" s="21046"/>
      <c r="AA275" s="21046"/>
      <c r="AB275" s="21047"/>
      <c r="AC275" s="21045" t="s">
        <v>632</v>
      </c>
      <c r="AD275" s="21046"/>
      <c r="AE275" s="21046"/>
      <c r="AF275" s="21046"/>
      <c r="AG275" s="21046"/>
      <c r="AH275" s="21046"/>
      <c r="AI275" s="21046"/>
      <c r="AJ275" s="21045"/>
      <c r="AK275" s="21046"/>
      <c r="AL275" s="21046"/>
      <c r="AM275" s="21046"/>
      <c r="AN275" s="21046"/>
      <c r="AO275" s="21046"/>
      <c r="AP275" s="21047"/>
      <c r="AQ275" s="21045"/>
      <c r="AR275" s="21046"/>
      <c r="AS275" s="21046"/>
      <c r="AT275" s="21046"/>
      <c r="AU275" s="21046"/>
      <c r="AV275" s="21046"/>
      <c r="AW275" s="21047"/>
      <c r="AX275" s="21045"/>
      <c r="AY275" s="21046"/>
      <c r="AZ275" s="21046"/>
      <c r="BA275" s="21046"/>
      <c r="BB275" s="21046"/>
      <c r="BC275" s="21046"/>
      <c r="BD275" s="21047"/>
      <c r="BE275" s="21045"/>
      <c r="BF275" s="21046"/>
      <c r="BG275" s="21046"/>
      <c r="BH275" s="21046"/>
      <c r="BI275" s="21046"/>
      <c r="BJ275" s="21046"/>
      <c r="BK275" s="21047"/>
      <c r="BL275" s="21045"/>
      <c r="BM275" s="21046"/>
      <c r="BN275" s="21046"/>
      <c r="BO275" s="21046"/>
      <c r="BP275" s="21046"/>
      <c r="BQ275" s="21046"/>
      <c r="BR275" s="21047"/>
      <c r="BS275" s="21045"/>
      <c r="BT275" s="21046"/>
      <c r="BU275" s="21046"/>
      <c r="BV275" s="21046"/>
      <c r="BW275" s="21046"/>
      <c r="BX275" s="21046"/>
      <c r="BY275" s="21047"/>
      <c r="BZ275" s="21045"/>
      <c r="CA275" s="21046"/>
      <c r="CB275" s="21046"/>
      <c r="CC275" s="21046"/>
      <c r="CD275" s="21046"/>
      <c r="CE275" s="21046"/>
      <c r="CF275" s="21047"/>
      <c r="CG275" s="21045"/>
      <c r="CH275" s="21046"/>
      <c r="CI275" s="21046"/>
      <c r="CJ275" s="21046"/>
      <c r="CK275" s="21046"/>
      <c r="CL275" s="21046"/>
      <c r="CM275" s="21047"/>
      <c r="CN275" s="21045"/>
      <c r="CO275" s="21046"/>
      <c r="CP275" s="21046"/>
      <c r="CQ275" s="21046"/>
      <c r="CR275" s="21046"/>
      <c r="CS275" s="21046"/>
      <c r="CT275" s="21047"/>
      <c r="CU275" s="21047"/>
      <c r="CV275" s="21650" t="s">
        <v>621</v>
      </c>
      <c r="CW275" s="21281"/>
      <c r="CX275" s="21633"/>
      <c r="CY275" s="21633" t="str">
        <f>IF(T275="","",T275)</f>
        <v>Группа потребителей</v>
      </c>
      <c r="CZ275" s="21633"/>
      <c r="DA275" s="21633"/>
      <c r="DB275" s="21020">
        <v>0</v>
      </c>
    </row>
    <row s="58114" customFormat="1" customHeight="1" ht="23.25">
      <c r="A276" s="21621"/>
      <c r="B276" s="21621"/>
      <c r="C276" s="21621"/>
      <c r="D276" s="21621"/>
      <c r="E276" s="21622"/>
      <c r="F276" s="21622" t="s">
        <v>160</v>
      </c>
      <c r="G276" s="21622"/>
      <c r="H276" s="21622"/>
      <c r="I276" s="21647"/>
      <c r="J276" s="21647"/>
      <c r="K276" s="21638" t="str">
        <f>J275&amp;".1"</f>
        <v>1.14.1.1.1.1</v>
      </c>
      <c r="L276" s="21624"/>
      <c r="M276" s="21639"/>
      <c r="N276" s="21639"/>
      <c r="O276" s="21639"/>
      <c r="P276" s="21640"/>
      <c r="Q276" s="21640"/>
      <c r="R276" s="21648">
        <v>1</v>
      </c>
      <c r="S276" s="21629" t="str">
        <f>$K276</f>
        <v>1.14.1.1.1.1</v>
      </c>
      <c r="T276" s="21652"/>
      <c r="U276" s="21631"/>
      <c r="V276" s="21053"/>
      <c r="W276" s="21053"/>
      <c r="X276" s="21054"/>
      <c r="Y276" s="21055"/>
      <c r="Z276" s="21056" t="s">
        <v>63</v>
      </c>
      <c r="AA276" s="21055"/>
      <c r="AB276" s="21056" t="s">
        <v>63</v>
      </c>
      <c r="AC276" s="21053">
        <v>27.47</v>
      </c>
      <c r="AD276" s="21053"/>
      <c r="AE276" s="21054"/>
      <c r="AF276" s="57093">
        <v>45292.626076388886</v>
      </c>
      <c r="AG276" s="21056" t="s">
        <v>63</v>
      </c>
      <c r="AH276" s="57094">
        <v>45473.62594907408</v>
      </c>
      <c r="AI276" s="21056" t="s">
        <v>63</v>
      </c>
      <c r="AJ276" s="21053">
        <v>35.71</v>
      </c>
      <c r="AK276" s="21053"/>
      <c r="AL276" s="21054"/>
      <c r="AM276" s="57093">
        <v>45474.62574074074</v>
      </c>
      <c r="AN276" s="21056" t="s">
        <v>63</v>
      </c>
      <c r="AO276" s="57093">
        <v>45657.62563657408</v>
      </c>
      <c r="AP276" s="21056" t="s">
        <v>63</v>
      </c>
      <c r="AQ276" s="21053">
        <v>35.71</v>
      </c>
      <c r="AR276" s="21053"/>
      <c r="AS276" s="21054"/>
      <c r="AT276" s="57093">
        <v>45658.62548611111</v>
      </c>
      <c r="AU276" s="21056" t="s">
        <v>63</v>
      </c>
      <c r="AV276" s="57093">
        <v>45838.62530092592</v>
      </c>
      <c r="AW276" s="21056" t="s">
        <v>63</v>
      </c>
      <c r="AX276" s="21053">
        <v>44.64</v>
      </c>
      <c r="AY276" s="21053"/>
      <c r="AZ276" s="21054"/>
      <c r="BA276" s="57093">
        <v>45839.62479166667</v>
      </c>
      <c r="BB276" s="21056" t="s">
        <v>63</v>
      </c>
      <c r="BC276" s="57093">
        <v>46022.62465277778</v>
      </c>
      <c r="BD276" s="21056" t="s">
        <v>63</v>
      </c>
      <c r="BE276" s="21053">
        <v>44.64</v>
      </c>
      <c r="BF276" s="21053"/>
      <c r="BG276" s="21054"/>
      <c r="BH276" s="57093">
        <v>46023.62447916667</v>
      </c>
      <c r="BI276" s="21056" t="s">
        <v>63</v>
      </c>
      <c r="BJ276" s="57093">
        <v>46203.62425925926</v>
      </c>
      <c r="BK276" s="21056" t="s">
        <v>63</v>
      </c>
      <c r="BL276" s="21053">
        <v>47.76</v>
      </c>
      <c r="BM276" s="21053"/>
      <c r="BN276" s="21054"/>
      <c r="BO276" s="57093">
        <v>46204.62395833333</v>
      </c>
      <c r="BP276" s="21056" t="s">
        <v>63</v>
      </c>
      <c r="BQ276" s="57093">
        <v>46387.62378472222</v>
      </c>
      <c r="BR276" s="21056" t="s">
        <v>63</v>
      </c>
      <c r="BS276" s="21053">
        <v>47.76</v>
      </c>
      <c r="BT276" s="21053"/>
      <c r="BU276" s="21054"/>
      <c r="BV276" s="57093">
        <v>46388.62365740741</v>
      </c>
      <c r="BW276" s="21056" t="s">
        <v>63</v>
      </c>
      <c r="BX276" s="57093">
        <v>46568.623344907406</v>
      </c>
      <c r="BY276" s="21056" t="s">
        <v>63</v>
      </c>
      <c r="BZ276" s="21053">
        <v>48.72</v>
      </c>
      <c r="CA276" s="21053"/>
      <c r="CB276" s="21054"/>
      <c r="CC276" s="57093">
        <v>46569.62305555555</v>
      </c>
      <c r="CD276" s="21056" t="s">
        <v>63</v>
      </c>
      <c r="CE276" s="57093">
        <v>46752.62298611111</v>
      </c>
      <c r="CF276" s="21056" t="s">
        <v>63</v>
      </c>
      <c r="CG276" s="21053">
        <v>48.72</v>
      </c>
      <c r="CH276" s="21053"/>
      <c r="CI276" s="21054"/>
      <c r="CJ276" s="57093">
        <v>46753.62274305556</v>
      </c>
      <c r="CK276" s="21056" t="s">
        <v>63</v>
      </c>
      <c r="CL276" s="57093">
        <v>46934.62248842593</v>
      </c>
      <c r="CM276" s="21056" t="s">
        <v>63</v>
      </c>
      <c r="CN276" s="21053">
        <v>51.54</v>
      </c>
      <c r="CO276" s="21053"/>
      <c r="CP276" s="21054"/>
      <c r="CQ276" s="57093">
        <v>46935.62184027778</v>
      </c>
      <c r="CR276" s="21056" t="s">
        <v>63</v>
      </c>
      <c r="CS276" s="57093">
        <v>47118.62165509259</v>
      </c>
      <c r="CT276" s="21056" t="s">
        <v>63</v>
      </c>
      <c r="CU276" s="21653"/>
      <c r="CV276"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76" s="21281">
        <f>STRCHECKDATE(V277:CU277)</f>
      </c>
      <c r="CX276" s="21633"/>
      <c r="CY276" s="21633" t="str">
        <f>IF(T276="","",T276)</f>
        <v/>
      </c>
      <c r="CZ276" s="21633"/>
      <c r="DA276" s="21633"/>
      <c r="DB276" s="21020">
        <v>0</v>
      </c>
    </row>
    <row s="58115" customFormat="1" customHeight="1" ht="14.25">
      <c r="A277" s="21621"/>
      <c r="B277" s="21621"/>
      <c r="C277" s="21621"/>
      <c r="D277" s="21621"/>
      <c r="E277" s="21622"/>
      <c r="F277" s="21622" t="s">
        <v>160</v>
      </c>
      <c r="G277" s="21622"/>
      <c r="H277" s="21622"/>
      <c r="I277" s="21647"/>
      <c r="J277" s="21647"/>
      <c r="K277" s="21638"/>
      <c r="L277" s="21624"/>
      <c r="M277" s="21639"/>
      <c r="N277" s="21639"/>
      <c r="O277" s="21639"/>
      <c r="P277" s="21640"/>
      <c r="Q277" s="21640"/>
      <c r="R277" s="21648"/>
      <c r="S277" s="21656"/>
      <c r="T277" s="21631"/>
      <c r="U277" s="21631"/>
      <c r="V277" s="21063"/>
      <c r="W277" s="21063"/>
      <c r="X277" s="21064" t="str">
        <f>Y276&amp;"-"&amp;AA276</f>
        <v>-</v>
      </c>
      <c r="Y277" s="21065"/>
      <c r="Z277" s="21056"/>
      <c r="AA277" s="21065"/>
      <c r="AB277" s="21056"/>
      <c r="AC277" s="21063"/>
      <c r="AD277" s="21063"/>
      <c r="AE277" s="21064" t="str">
        <f>AF276&amp;"-"&amp;AH276</f>
        <v>45292.626076388886-45473.62594907408</v>
      </c>
      <c r="AF277" s="21065"/>
      <c r="AG277" s="21056"/>
      <c r="AH277" s="21324"/>
      <c r="AI277" s="21056"/>
      <c r="AJ277" s="21063"/>
      <c r="AK277" s="21063"/>
      <c r="AL277" s="21064" t="str">
        <f>AM276&amp;"-"&amp;AO276</f>
        <v>45474.62574074074-45657.62563657408</v>
      </c>
      <c r="AM277" s="21065"/>
      <c r="AN277" s="21056"/>
      <c r="AO277" s="21065"/>
      <c r="AP277" s="21056"/>
      <c r="AQ277" s="21063"/>
      <c r="AR277" s="21063"/>
      <c r="AS277" s="21064" t="str">
        <f>AT276&amp;"-"&amp;AV276</f>
        <v>45658.62548611111-45838.62530092592</v>
      </c>
      <c r="AT277" s="21065"/>
      <c r="AU277" s="21056"/>
      <c r="AV277" s="21065"/>
      <c r="AW277" s="21056"/>
      <c r="AX277" s="21063"/>
      <c r="AY277" s="21063"/>
      <c r="AZ277" s="21064" t="str">
        <f>BA276&amp;"-"&amp;BC276</f>
        <v>45839.62479166667-46022.62465277778</v>
      </c>
      <c r="BA277" s="21065"/>
      <c r="BB277" s="21056"/>
      <c r="BC277" s="21065"/>
      <c r="BD277" s="21056"/>
      <c r="BE277" s="21063"/>
      <c r="BF277" s="21063"/>
      <c r="BG277" s="21064" t="str">
        <f>BH276&amp;"-"&amp;BJ276</f>
        <v>46023.62447916667-46203.62425925926</v>
      </c>
      <c r="BH277" s="21065"/>
      <c r="BI277" s="21056"/>
      <c r="BJ277" s="21065"/>
      <c r="BK277" s="21056"/>
      <c r="BL277" s="21063"/>
      <c r="BM277" s="21063"/>
      <c r="BN277" s="21064" t="str">
        <f>BO276&amp;"-"&amp;BQ276</f>
        <v>46204.62395833333-46387.62378472222</v>
      </c>
      <c r="BO277" s="21065"/>
      <c r="BP277" s="21056"/>
      <c r="BQ277" s="21065"/>
      <c r="BR277" s="21056"/>
      <c r="BS277" s="21063"/>
      <c r="BT277" s="21063"/>
      <c r="BU277" s="21064" t="str">
        <f>BV276&amp;"-"&amp;BX276</f>
        <v>46388.62365740741-46568.623344907406</v>
      </c>
      <c r="BV277" s="21065"/>
      <c r="BW277" s="21056"/>
      <c r="BX277" s="21065"/>
      <c r="BY277" s="21056"/>
      <c r="BZ277" s="21063"/>
      <c r="CA277" s="21063"/>
      <c r="CB277" s="21064" t="str">
        <f>CC276&amp;"-"&amp;CE276</f>
        <v>46569.62305555555-46752.62298611111</v>
      </c>
      <c r="CC277" s="21065"/>
      <c r="CD277" s="21056"/>
      <c r="CE277" s="21065"/>
      <c r="CF277" s="21056"/>
      <c r="CG277" s="21063"/>
      <c r="CH277" s="21063"/>
      <c r="CI277" s="21064" t="str">
        <f>CJ276&amp;"-"&amp;CL276</f>
        <v>46753.62274305556-46934.62248842593</v>
      </c>
      <c r="CJ277" s="21065"/>
      <c r="CK277" s="21056"/>
      <c r="CL277" s="21065"/>
      <c r="CM277" s="21056"/>
      <c r="CN277" s="21063"/>
      <c r="CO277" s="21063"/>
      <c r="CP277" s="21064" t="str">
        <f>CQ276&amp;"-"&amp;CS276</f>
        <v>46935.62184027778-47118.62165509259</v>
      </c>
      <c r="CQ277" s="21065"/>
      <c r="CR277" s="21056"/>
      <c r="CS277" s="21065"/>
      <c r="CT277" s="21056"/>
      <c r="CU277" s="21657"/>
      <c r="CV277" s="21654"/>
      <c r="CW277" s="21281"/>
      <c r="CX277" s="21633"/>
      <c r="CY277" s="21633" t="str">
        <f>IF(T277="","",T277)</f>
        <v/>
      </c>
      <c r="CZ277" s="21633"/>
      <c r="DA277" s="21633"/>
      <c r="DB277" s="21020">
        <v>0</v>
      </c>
    </row>
    <row s="58116" customFormat="1" customHeight="1" ht="21">
      <c r="A278" s="21621"/>
      <c r="B278" s="21621"/>
      <c r="C278" s="21621"/>
      <c r="D278" s="21621"/>
      <c r="E278" s="21622"/>
      <c r="F278" s="21622" t="s">
        <v>160</v>
      </c>
      <c r="G278" s="21622"/>
      <c r="H278" s="21622"/>
      <c r="I278" s="21647"/>
      <c r="J278" s="21638"/>
      <c r="K278" s="21621"/>
      <c r="L278" s="21624"/>
      <c r="M278" s="21639"/>
      <c r="N278" s="21639"/>
      <c r="O278" s="21639"/>
      <c r="P278" s="21640"/>
      <c r="Q278" s="21640"/>
      <c r="R278" s="21641"/>
      <c r="S278" s="26252"/>
      <c r="T278" s="26253" t="s">
        <v>622</v>
      </c>
      <c r="U278" s="26254"/>
      <c r="V278" s="26255"/>
      <c r="W278" s="26256"/>
      <c r="X278" s="26257"/>
      <c r="Y278" s="26258"/>
      <c r="Z278" s="26259"/>
      <c r="AA278" s="26260"/>
      <c r="AB278" s="26261"/>
      <c r="AC278" s="26262"/>
      <c r="AD278" s="26263"/>
      <c r="AE278" s="26264"/>
      <c r="AF278" s="26265"/>
      <c r="AG278" s="26266"/>
      <c r="AH278" s="26267"/>
      <c r="AI278" s="26268"/>
      <c r="AJ278" s="26269"/>
      <c r="AK278" s="26270"/>
      <c r="AL278" s="26271"/>
      <c r="AM278" s="26272"/>
      <c r="AN278" s="26273"/>
      <c r="AO278" s="26274"/>
      <c r="AP278" s="26275"/>
      <c r="AQ278" s="26276"/>
      <c r="AR278" s="26277"/>
      <c r="AS278" s="26278"/>
      <c r="AT278" s="26279"/>
      <c r="AU278" s="26280"/>
      <c r="AV278" s="26281"/>
      <c r="AW278" s="26282"/>
      <c r="AX278" s="26283"/>
      <c r="AY278" s="26284"/>
      <c r="AZ278" s="26285"/>
      <c r="BA278" s="26286"/>
      <c r="BB278" s="26287"/>
      <c r="BC278" s="26288"/>
      <c r="BD278" s="26289"/>
      <c r="BE278" s="26290"/>
      <c r="BF278" s="26291"/>
      <c r="BG278" s="26292"/>
      <c r="BH278" s="26293"/>
      <c r="BI278" s="26294"/>
      <c r="BJ278" s="26295"/>
      <c r="BK278" s="26296"/>
      <c r="BL278" s="26297"/>
      <c r="BM278" s="26298"/>
      <c r="BN278" s="26299"/>
      <c r="BO278" s="26300"/>
      <c r="BP278" s="26301"/>
      <c r="BQ278" s="26302"/>
      <c r="BR278" s="26303"/>
      <c r="BS278" s="26304"/>
      <c r="BT278" s="26305"/>
      <c r="BU278" s="26306"/>
      <c r="BV278" s="26307"/>
      <c r="BW278" s="26308"/>
      <c r="BX278" s="26309"/>
      <c r="BY278" s="26310"/>
      <c r="BZ278" s="26311"/>
      <c r="CA278" s="26312"/>
      <c r="CB278" s="26313"/>
      <c r="CC278" s="26314"/>
      <c r="CD278" s="26315"/>
      <c r="CE278" s="26316"/>
      <c r="CF278" s="26317"/>
      <c r="CG278" s="26318"/>
      <c r="CH278" s="26319"/>
      <c r="CI278" s="26320"/>
      <c r="CJ278" s="26321"/>
      <c r="CK278" s="26322"/>
      <c r="CL278" s="26323"/>
      <c r="CM278" s="26324"/>
      <c r="CN278" s="26325"/>
      <c r="CO278" s="26326"/>
      <c r="CP278" s="26327"/>
      <c r="CQ278" s="26328"/>
      <c r="CR278" s="26329"/>
      <c r="CS278" s="26330"/>
      <c r="CT278" s="26331"/>
      <c r="CU278" s="26332"/>
      <c r="CV278" s="21632" t="s">
        <v>623</v>
      </c>
      <c r="CW278" s="21281"/>
      <c r="CX278" s="21633"/>
      <c r="CY278" s="21633" t="str">
        <f>IF(T278="","",T278)</f>
        <v>Добавить значение признака дифференциации</v>
      </c>
      <c r="CZ278" s="21633"/>
      <c r="DA278" s="21633"/>
      <c r="DB278" s="21020">
        <v>0</v>
      </c>
    </row>
    <row s="58198" customFormat="1" customHeight="1" ht="23.25">
      <c r="A279" s="33106"/>
      <c r="B279" s="33106"/>
      <c r="C279" s="33106"/>
      <c r="D279" s="33106"/>
      <c r="E279" s="33107"/>
      <c r="F279" s="33107"/>
      <c r="G279" s="33107"/>
      <c r="H279" s="33107"/>
      <c r="I279" s="33108"/>
      <c r="J279" s="33109" t="str">
        <f>I274&amp;".2"</f>
        <v>1.14.1.1.2</v>
      </c>
      <c r="K279" s="33106"/>
      <c r="L279" s="33110" t="s">
        <v>545</v>
      </c>
      <c r="M279" s="33111"/>
      <c r="N279" s="33111"/>
      <c r="O279" s="33111"/>
      <c r="P279" s="33112"/>
      <c r="Q279" s="33113" t="s">
        <v>106</v>
      </c>
      <c r="R279" s="33114"/>
      <c r="S279" s="33115" t="str">
        <f>$J279</f>
        <v>1.14.1.1.2</v>
      </c>
      <c r="T279" s="33116" t="s">
        <v>546</v>
      </c>
      <c r="U279" s="33117"/>
      <c r="V279" s="33118"/>
      <c r="W279" s="33119"/>
      <c r="X279" s="33119"/>
      <c r="Y279" s="33119"/>
      <c r="Z279" s="33119"/>
      <c r="AA279" s="33119"/>
      <c r="AB279" s="33120"/>
      <c r="AC279" s="33118" t="s">
        <v>633</v>
      </c>
      <c r="AD279" s="33119"/>
      <c r="AE279" s="33119"/>
      <c r="AF279" s="33119"/>
      <c r="AG279" s="33119"/>
      <c r="AH279" s="33119"/>
      <c r="AI279" s="33119"/>
      <c r="AJ279" s="33118"/>
      <c r="AK279" s="33119"/>
      <c r="AL279" s="33119"/>
      <c r="AM279" s="33119"/>
      <c r="AN279" s="33119"/>
      <c r="AO279" s="33119"/>
      <c r="AP279" s="33120"/>
      <c r="AQ279" s="33118"/>
      <c r="AR279" s="33119"/>
      <c r="AS279" s="33119"/>
      <c r="AT279" s="33119"/>
      <c r="AU279" s="33119"/>
      <c r="AV279" s="33119"/>
      <c r="AW279" s="33120"/>
      <c r="AX279" s="33118"/>
      <c r="AY279" s="33119"/>
      <c r="AZ279" s="33119"/>
      <c r="BA279" s="33119"/>
      <c r="BB279" s="33119"/>
      <c r="BC279" s="33119"/>
      <c r="BD279" s="33120"/>
      <c r="BE279" s="33118"/>
      <c r="BF279" s="33119"/>
      <c r="BG279" s="33119"/>
      <c r="BH279" s="33119"/>
      <c r="BI279" s="33119"/>
      <c r="BJ279" s="33119"/>
      <c r="BK279" s="33120"/>
      <c r="BL279" s="33118"/>
      <c r="BM279" s="33119"/>
      <c r="BN279" s="33119"/>
      <c r="BO279" s="33119"/>
      <c r="BP279" s="33119"/>
      <c r="BQ279" s="33119"/>
      <c r="BR279" s="33120"/>
      <c r="BS279" s="33118"/>
      <c r="BT279" s="33119"/>
      <c r="BU279" s="33119"/>
      <c r="BV279" s="33119"/>
      <c r="BW279" s="33119"/>
      <c r="BX279" s="33119"/>
      <c r="BY279" s="33120"/>
      <c r="BZ279" s="33118"/>
      <c r="CA279" s="33119"/>
      <c r="CB279" s="33119"/>
      <c r="CC279" s="33119"/>
      <c r="CD279" s="33119"/>
      <c r="CE279" s="33119"/>
      <c r="CF279" s="33120"/>
      <c r="CG279" s="33118"/>
      <c r="CH279" s="33119"/>
      <c r="CI279" s="33119"/>
      <c r="CJ279" s="33119"/>
      <c r="CK279" s="33119"/>
      <c r="CL279" s="33119"/>
      <c r="CM279" s="33120"/>
      <c r="CN279" s="33118"/>
      <c r="CO279" s="33119"/>
      <c r="CP279" s="33119"/>
      <c r="CQ279" s="33119"/>
      <c r="CR279" s="33119"/>
      <c r="CS279" s="33119"/>
      <c r="CT279" s="33121"/>
      <c r="CU279" s="33120"/>
      <c r="CV279" s="33122" t="s">
        <v>621</v>
      </c>
      <c r="CW279" s="33123"/>
      <c r="CX279" s="33124"/>
      <c r="CY279" s="33124" t="str">
        <f>IF(T279="","",T279)</f>
        <v>Группа потребителей</v>
      </c>
      <c r="CZ279" s="33124"/>
      <c r="DA279" s="33124"/>
      <c r="DB279" s="33125">
        <v>0</v>
      </c>
    </row>
    <row s="58199" customFormat="1" customHeight="1" ht="23.25">
      <c r="A280" s="33106"/>
      <c r="B280" s="33106"/>
      <c r="C280" s="33106"/>
      <c r="D280" s="33106"/>
      <c r="E280" s="33107"/>
      <c r="F280" s="33107"/>
      <c r="G280" s="33107"/>
      <c r="H280" s="33107"/>
      <c r="I280" s="33108"/>
      <c r="J280" s="33108" t="str">
        <f>I274&amp;".1"</f>
        <v>1.14.1.1.1</v>
      </c>
      <c r="K280" s="33109" t="str">
        <f>J279&amp;".1"</f>
        <v>1.14.1.1.2.1</v>
      </c>
      <c r="L280" s="33110"/>
      <c r="M280" s="33111"/>
      <c r="N280" s="33111"/>
      <c r="O280" s="33111"/>
      <c r="P280" s="33112"/>
      <c r="Q280" s="33112"/>
      <c r="R280" s="33114">
        <v>1</v>
      </c>
      <c r="S280" s="33115" t="str">
        <f>$K280</f>
        <v>1.14.1.1.2.1</v>
      </c>
      <c r="T280" s="33127"/>
      <c r="U280" s="33117"/>
      <c r="V280" s="33128"/>
      <c r="W280" s="33128"/>
      <c r="X280" s="33129"/>
      <c r="Y280" s="33020"/>
      <c r="Z280" s="33130" t="s">
        <v>63</v>
      </c>
      <c r="AA280" s="33020"/>
      <c r="AB280" s="33130" t="s">
        <v>63</v>
      </c>
      <c r="AC280" s="33128">
        <v>22.89</v>
      </c>
      <c r="AD280" s="33128"/>
      <c r="AE280" s="33129"/>
      <c r="AF280" s="57093">
        <v>45292.62600694445</v>
      </c>
      <c r="AG280" s="33130" t="s">
        <v>63</v>
      </c>
      <c r="AH280" s="57094">
        <v>45473.625868055555</v>
      </c>
      <c r="AI280" s="33130" t="s">
        <v>63</v>
      </c>
      <c r="AJ280" s="33128">
        <v>29.76</v>
      </c>
      <c r="AK280" s="33128"/>
      <c r="AL280" s="33129"/>
      <c r="AM280" s="57093">
        <v>45474.625659722224</v>
      </c>
      <c r="AN280" s="33130" t="s">
        <v>63</v>
      </c>
      <c r="AO280" s="57093">
        <v>45657.625601851854</v>
      </c>
      <c r="AP280" s="33130" t="s">
        <v>63</v>
      </c>
      <c r="AQ280" s="33128">
        <v>29.76</v>
      </c>
      <c r="AR280" s="33128"/>
      <c r="AS280" s="33129"/>
      <c r="AT280" s="57093">
        <v>45658.625393518516</v>
      </c>
      <c r="AU280" s="33130" t="s">
        <v>63</v>
      </c>
      <c r="AV280" s="57093">
        <v>45838.625185185185</v>
      </c>
      <c r="AW280" s="33130" t="s">
        <v>63</v>
      </c>
      <c r="AX280" s="33128">
        <v>37.2</v>
      </c>
      <c r="AY280" s="33128"/>
      <c r="AZ280" s="33129"/>
      <c r="BA280" s="57093">
        <v>45839.62469907408</v>
      </c>
      <c r="BB280" s="33130" t="s">
        <v>63</v>
      </c>
      <c r="BC280" s="57093">
        <v>46022.624560185184</v>
      </c>
      <c r="BD280" s="33130" t="s">
        <v>63</v>
      </c>
      <c r="BE280" s="33128">
        <v>37.2</v>
      </c>
      <c r="BF280" s="33128"/>
      <c r="BG280" s="33129"/>
      <c r="BH280" s="57093">
        <v>46023.624386574076</v>
      </c>
      <c r="BI280" s="33130" t="s">
        <v>63</v>
      </c>
      <c r="BJ280" s="57093">
        <v>46203.62414351852</v>
      </c>
      <c r="BK280" s="33130" t="s">
        <v>63</v>
      </c>
      <c r="BL280" s="33128">
        <v>39.8</v>
      </c>
      <c r="BM280" s="33128"/>
      <c r="BN280" s="33129"/>
      <c r="BO280" s="57093">
        <v>46204.62384259259</v>
      </c>
      <c r="BP280" s="33130" t="s">
        <v>63</v>
      </c>
      <c r="BQ280" s="57093">
        <v>46387.62372685185</v>
      </c>
      <c r="BR280" s="33130" t="s">
        <v>63</v>
      </c>
      <c r="BS280" s="33128">
        <v>39.8</v>
      </c>
      <c r="BT280" s="33128"/>
      <c r="BU280" s="33129"/>
      <c r="BV280" s="57093">
        <v>46388.62355324074</v>
      </c>
      <c r="BW280" s="33130" t="s">
        <v>63</v>
      </c>
      <c r="BX280" s="57093">
        <v>46568.6234375</v>
      </c>
      <c r="BY280" s="33130" t="s">
        <v>63</v>
      </c>
      <c r="BZ280" s="33128">
        <v>40.6</v>
      </c>
      <c r="CA280" s="33128"/>
      <c r="CB280" s="33129"/>
      <c r="CC280" s="57093">
        <v>46569.62315972222</v>
      </c>
      <c r="CD280" s="33130" t="s">
        <v>63</v>
      </c>
      <c r="CE280" s="57093">
        <v>46752.62290509259</v>
      </c>
      <c r="CF280" s="33130" t="s">
        <v>63</v>
      </c>
      <c r="CG280" s="33128">
        <v>40.6</v>
      </c>
      <c r="CH280" s="33128"/>
      <c r="CI280" s="33129"/>
      <c r="CJ280" s="57093">
        <v>46753.622615740744</v>
      </c>
      <c r="CK280" s="33130" t="s">
        <v>63</v>
      </c>
      <c r="CL280" s="57093">
        <v>46934.62238425926</v>
      </c>
      <c r="CM280" s="33130" t="s">
        <v>63</v>
      </c>
      <c r="CN280" s="33128">
        <v>42.95</v>
      </c>
      <c r="CO280" s="33128"/>
      <c r="CP280" s="33129"/>
      <c r="CQ280" s="57093">
        <v>46935.621712962966</v>
      </c>
      <c r="CR280" s="33130" t="s">
        <v>63</v>
      </c>
      <c r="CS280" s="57093">
        <v>47118.6215625</v>
      </c>
      <c r="CT280" s="33131" t="s">
        <v>63</v>
      </c>
      <c r="CU280" s="33132"/>
      <c r="CV280"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0" s="33123">
        <f>STRCHECKDATE(V281:CU281)</f>
      </c>
      <c r="CX280" s="33124"/>
      <c r="CY280" s="33124" t="str">
        <f>IF(T280="","",T280)</f>
        <v/>
      </c>
      <c r="CZ280" s="33124"/>
      <c r="DA280" s="33124"/>
      <c r="DB280" s="33125">
        <v>0</v>
      </c>
    </row>
    <row s="58200" customFormat="1" customHeight="1" ht="0.023676554361979168">
      <c r="A281" s="33106"/>
      <c r="B281" s="33106"/>
      <c r="C281" s="33106"/>
      <c r="D281" s="33106"/>
      <c r="E281" s="33107"/>
      <c r="F281" s="33107"/>
      <c r="G281" s="33107"/>
      <c r="H281" s="33107"/>
      <c r="I281" s="33108"/>
      <c r="J281" s="33108" t="str">
        <f>I274&amp;".1"</f>
        <v>1.14.1.1.1</v>
      </c>
      <c r="K281" s="33109"/>
      <c r="L281" s="33110"/>
      <c r="M281" s="33111"/>
      <c r="N281" s="33111"/>
      <c r="O281" s="33111"/>
      <c r="P281" s="33112"/>
      <c r="Q281" s="33112"/>
      <c r="R281" s="33114"/>
      <c r="S281" s="33135"/>
      <c r="T281" s="33117"/>
      <c r="U281" s="33117"/>
      <c r="V281" s="33136"/>
      <c r="W281" s="33136"/>
      <c r="X281" s="33137" t="str">
        <f>Y280&amp;"-"&amp;AA280</f>
        <v>-</v>
      </c>
      <c r="Y281" s="33138"/>
      <c r="Z281" s="33130"/>
      <c r="AA281" s="33138"/>
      <c r="AB281" s="33130"/>
      <c r="AC281" s="33136"/>
      <c r="AD281" s="33136"/>
      <c r="AE281" s="33137" t="str">
        <f>AF280&amp;"-"&amp;AH280</f>
        <v>45292.62600694445-45473.625868055555</v>
      </c>
      <c r="AF281" s="33138"/>
      <c r="AG281" s="33130"/>
      <c r="AH281" s="33139"/>
      <c r="AI281" s="33130"/>
      <c r="AJ281" s="33136"/>
      <c r="AK281" s="33136"/>
      <c r="AL281" s="33137" t="str">
        <f>AM280&amp;"-"&amp;AO280</f>
        <v>45474.625659722224-45657.625601851854</v>
      </c>
      <c r="AM281" s="33138"/>
      <c r="AN281" s="33130"/>
      <c r="AO281" s="33138"/>
      <c r="AP281" s="33130"/>
      <c r="AQ281" s="33136"/>
      <c r="AR281" s="33136"/>
      <c r="AS281" s="33137" t="str">
        <f>AT280&amp;"-"&amp;AV280</f>
        <v>45658.625393518516-45838.625185185185</v>
      </c>
      <c r="AT281" s="33138"/>
      <c r="AU281" s="33130"/>
      <c r="AV281" s="33138"/>
      <c r="AW281" s="33130"/>
      <c r="AX281" s="33136"/>
      <c r="AY281" s="33136"/>
      <c r="AZ281" s="33137" t="str">
        <f>BA280&amp;"-"&amp;BC280</f>
        <v>45839.62469907408-46022.624560185184</v>
      </c>
      <c r="BA281" s="33138"/>
      <c r="BB281" s="33130"/>
      <c r="BC281" s="33138"/>
      <c r="BD281" s="33130"/>
      <c r="BE281" s="33136"/>
      <c r="BF281" s="33136"/>
      <c r="BG281" s="33137" t="str">
        <f>BH280&amp;"-"&amp;BJ280</f>
        <v>46023.624386574076-46203.62414351852</v>
      </c>
      <c r="BH281" s="33138"/>
      <c r="BI281" s="33130"/>
      <c r="BJ281" s="33138"/>
      <c r="BK281" s="33130"/>
      <c r="BL281" s="33136"/>
      <c r="BM281" s="33136"/>
      <c r="BN281" s="33137" t="str">
        <f>BO280&amp;"-"&amp;BQ280</f>
        <v>46204.62384259259-46387.62372685185</v>
      </c>
      <c r="BO281" s="33138"/>
      <c r="BP281" s="33130"/>
      <c r="BQ281" s="33138"/>
      <c r="BR281" s="33130"/>
      <c r="BS281" s="33136"/>
      <c r="BT281" s="33136"/>
      <c r="BU281" s="33137" t="str">
        <f>BV280&amp;"-"&amp;BX280</f>
        <v>46388.62355324074-46568.6234375</v>
      </c>
      <c r="BV281" s="33138"/>
      <c r="BW281" s="33130"/>
      <c r="BX281" s="33138"/>
      <c r="BY281" s="33130"/>
      <c r="BZ281" s="33136"/>
      <c r="CA281" s="33136"/>
      <c r="CB281" s="33137" t="str">
        <f>CC280&amp;"-"&amp;CE280</f>
        <v>46569.62315972222-46752.62290509259</v>
      </c>
      <c r="CC281" s="33138"/>
      <c r="CD281" s="33130"/>
      <c r="CE281" s="33138"/>
      <c r="CF281" s="33130"/>
      <c r="CG281" s="33136"/>
      <c r="CH281" s="33136"/>
      <c r="CI281" s="33137" t="str">
        <f>CJ280&amp;"-"&amp;CL280</f>
        <v>46753.622615740744-46934.62238425926</v>
      </c>
      <c r="CJ281" s="33138"/>
      <c r="CK281" s="33130"/>
      <c r="CL281" s="33138"/>
      <c r="CM281" s="33130"/>
      <c r="CN281" s="33136"/>
      <c r="CO281" s="33136"/>
      <c r="CP281" s="33137" t="str">
        <f>CQ280&amp;"-"&amp;CS280</f>
        <v>46935.621712962966-47118.6215625</v>
      </c>
      <c r="CQ281" s="33138"/>
      <c r="CR281" s="33130"/>
      <c r="CS281" s="33138"/>
      <c r="CT281" s="33131"/>
      <c r="CU281" s="33140"/>
      <c r="CV281" s="33133"/>
      <c r="CW281" s="33123"/>
      <c r="CX281" s="33124"/>
      <c r="CY281" s="33124" t="str">
        <f>IF(T281="","",T281)</f>
        <v/>
      </c>
      <c r="CZ281" s="33124"/>
      <c r="DA281" s="33124"/>
      <c r="DB281" s="33125">
        <v>0</v>
      </c>
    </row>
    <row s="58201" customFormat="1" customHeight="1" ht="21">
      <c r="A282" s="33106"/>
      <c r="B282" s="33106"/>
      <c r="C282" s="33106"/>
      <c r="D282" s="33106"/>
      <c r="E282" s="33107"/>
      <c r="F282" s="33107"/>
      <c r="G282" s="33107"/>
      <c r="H282" s="33107"/>
      <c r="I282" s="33108"/>
      <c r="J282" s="33109" t="str">
        <f>I274&amp;".1"</f>
        <v>1.14.1.1.1</v>
      </c>
      <c r="K282" s="33106"/>
      <c r="L282" s="33110"/>
      <c r="M282" s="33111"/>
      <c r="N282" s="33111"/>
      <c r="O282" s="33111"/>
      <c r="P282" s="33112"/>
      <c r="Q282" s="33112"/>
      <c r="R282" s="33142"/>
      <c r="S282" s="36542"/>
      <c r="T282" s="36543" t="s">
        <v>622</v>
      </c>
      <c r="U282" s="36544"/>
      <c r="V282" s="36545"/>
      <c r="W282" s="36546"/>
      <c r="X282" s="36547"/>
      <c r="Y282" s="36548"/>
      <c r="Z282" s="36549"/>
      <c r="AA282" s="36550"/>
      <c r="AB282" s="36551"/>
      <c r="AC282" s="36552"/>
      <c r="AD282" s="36553"/>
      <c r="AE282" s="36554"/>
      <c r="AF282" s="36555"/>
      <c r="AG282" s="36556"/>
      <c r="AH282" s="36557"/>
      <c r="AI282" s="36558"/>
      <c r="AJ282" s="36559"/>
      <c r="AK282" s="36560"/>
      <c r="AL282" s="36561"/>
      <c r="AM282" s="36562"/>
      <c r="AN282" s="36563"/>
      <c r="AO282" s="36564"/>
      <c r="AP282" s="36565"/>
      <c r="AQ282" s="36566"/>
      <c r="AR282" s="36567"/>
      <c r="AS282" s="36568"/>
      <c r="AT282" s="36569"/>
      <c r="AU282" s="36570"/>
      <c r="AV282" s="36571"/>
      <c r="AW282" s="36572"/>
      <c r="AX282" s="36573"/>
      <c r="AY282" s="36574"/>
      <c r="AZ282" s="36575"/>
      <c r="BA282" s="36576"/>
      <c r="BB282" s="36577"/>
      <c r="BC282" s="36578"/>
      <c r="BD282" s="36579"/>
      <c r="BE282" s="36580"/>
      <c r="BF282" s="36581"/>
      <c r="BG282" s="36582"/>
      <c r="BH282" s="36583"/>
      <c r="BI282" s="36584"/>
      <c r="BJ282" s="36585"/>
      <c r="BK282" s="36586"/>
      <c r="BL282" s="36587"/>
      <c r="BM282" s="36588"/>
      <c r="BN282" s="36589"/>
      <c r="BO282" s="36590"/>
      <c r="BP282" s="36591"/>
      <c r="BQ282" s="36592"/>
      <c r="BR282" s="36593"/>
      <c r="BS282" s="36594"/>
      <c r="BT282" s="36595"/>
      <c r="BU282" s="36596"/>
      <c r="BV282" s="36597"/>
      <c r="BW282" s="36598"/>
      <c r="BX282" s="36599"/>
      <c r="BY282" s="36600"/>
      <c r="BZ282" s="36601"/>
      <c r="CA282" s="36602"/>
      <c r="CB282" s="36603"/>
      <c r="CC282" s="36604"/>
      <c r="CD282" s="36605"/>
      <c r="CE282" s="36606"/>
      <c r="CF282" s="36607"/>
      <c r="CG282" s="36608"/>
      <c r="CH282" s="36609"/>
      <c r="CI282" s="36610"/>
      <c r="CJ282" s="36611"/>
      <c r="CK282" s="36612"/>
      <c r="CL282" s="36613"/>
      <c r="CM282" s="36614"/>
      <c r="CN282" s="36615"/>
      <c r="CO282" s="36616"/>
      <c r="CP282" s="36617"/>
      <c r="CQ282" s="36618"/>
      <c r="CR282" s="36619"/>
      <c r="CS282" s="36620"/>
      <c r="CT282" s="36621"/>
      <c r="CU282" s="36622"/>
      <c r="CV282" s="33224" t="s">
        <v>623</v>
      </c>
      <c r="CW282" s="33123"/>
      <c r="CX282" s="33124"/>
      <c r="CY282" s="33124" t="str">
        <f>IF(T282="","",T282)</f>
        <v>Добавить значение признака дифференциации</v>
      </c>
      <c r="CZ282" s="33124"/>
      <c r="DA282" s="33124"/>
      <c r="DB282" s="33125">
        <v>0</v>
      </c>
    </row>
    <row s="58283" customFormat="1" customHeight="1" ht="21">
      <c r="A283" s="21621"/>
      <c r="B283" s="21621"/>
      <c r="C283" s="21621"/>
      <c r="D283" s="21621"/>
      <c r="E283" s="21622"/>
      <c r="F283" s="21622" t="s">
        <v>160</v>
      </c>
      <c r="G283" s="21622"/>
      <c r="H283" s="21622"/>
      <c r="I283" s="21638"/>
      <c r="J283" s="21621"/>
      <c r="K283" s="21621"/>
      <c r="L283" s="21624"/>
      <c r="M283" s="21639"/>
      <c r="N283" s="21639"/>
      <c r="O283" s="21639"/>
      <c r="P283" s="21640"/>
      <c r="Q283" s="21640"/>
      <c r="R283" s="21641"/>
      <c r="S283" s="26334"/>
      <c r="T283" s="26335" t="s">
        <v>551</v>
      </c>
      <c r="U283" s="26336"/>
      <c r="V283" s="26337"/>
      <c r="W283" s="26338"/>
      <c r="X283" s="26339"/>
      <c r="Y283" s="26340"/>
      <c r="Z283" s="26341"/>
      <c r="AA283" s="26342"/>
      <c r="AB283" s="26343"/>
      <c r="AC283" s="26344"/>
      <c r="AD283" s="26345"/>
      <c r="AE283" s="26346"/>
      <c r="AF283" s="26347"/>
      <c r="AG283" s="26348"/>
      <c r="AH283" s="26349"/>
      <c r="AI283" s="26350"/>
      <c r="AJ283" s="26351"/>
      <c r="AK283" s="26352"/>
      <c r="AL283" s="26353"/>
      <c r="AM283" s="26354"/>
      <c r="AN283" s="26355"/>
      <c r="AO283" s="26356"/>
      <c r="AP283" s="26357"/>
      <c r="AQ283" s="26358"/>
      <c r="AR283" s="26359"/>
      <c r="AS283" s="26360"/>
      <c r="AT283" s="26361"/>
      <c r="AU283" s="26362"/>
      <c r="AV283" s="26363"/>
      <c r="AW283" s="26364"/>
      <c r="AX283" s="26365"/>
      <c r="AY283" s="26366"/>
      <c r="AZ283" s="26367"/>
      <c r="BA283" s="26368"/>
      <c r="BB283" s="26369"/>
      <c r="BC283" s="26370"/>
      <c r="BD283" s="26371"/>
      <c r="BE283" s="26372"/>
      <c r="BF283" s="26373"/>
      <c r="BG283" s="26374"/>
      <c r="BH283" s="26375"/>
      <c r="BI283" s="26376"/>
      <c r="BJ283" s="26377"/>
      <c r="BK283" s="26378"/>
      <c r="BL283" s="26379"/>
      <c r="BM283" s="26380"/>
      <c r="BN283" s="26381"/>
      <c r="BO283" s="26382"/>
      <c r="BP283" s="26383"/>
      <c r="BQ283" s="26384"/>
      <c r="BR283" s="26385"/>
      <c r="BS283" s="26386"/>
      <c r="BT283" s="26387"/>
      <c r="BU283" s="26388"/>
      <c r="BV283" s="26389"/>
      <c r="BW283" s="26390"/>
      <c r="BX283" s="26391"/>
      <c r="BY283" s="26392"/>
      <c r="BZ283" s="26393"/>
      <c r="CA283" s="26394"/>
      <c r="CB283" s="26395"/>
      <c r="CC283" s="26396"/>
      <c r="CD283" s="26397"/>
      <c r="CE283" s="26398"/>
      <c r="CF283" s="26399"/>
      <c r="CG283" s="26400"/>
      <c r="CH283" s="26401"/>
      <c r="CI283" s="26402"/>
      <c r="CJ283" s="26403"/>
      <c r="CK283" s="26404"/>
      <c r="CL283" s="26405"/>
      <c r="CM283" s="26406"/>
      <c r="CN283" s="26407"/>
      <c r="CO283" s="26408"/>
      <c r="CP283" s="26409"/>
      <c r="CQ283" s="26410"/>
      <c r="CR283" s="26411"/>
      <c r="CS283" s="26412"/>
      <c r="CT283" s="26413"/>
      <c r="CU283" s="26414"/>
      <c r="CV283" s="26415"/>
      <c r="CW283" s="21281"/>
      <c r="CX283" s="21633"/>
      <c r="CY283" s="21633" t="str">
        <f>IF(T283="","",T283)</f>
        <v>Добавить группу потребителей</v>
      </c>
      <c r="CZ283" s="21633"/>
      <c r="DA283" s="21633"/>
      <c r="DB283" s="21020">
        <v>0</v>
      </c>
    </row>
    <row s="58366" customFormat="1" customHeight="1" ht="14.25">
      <c r="A284" s="21621"/>
      <c r="B284" s="21621"/>
      <c r="C284" s="21621"/>
      <c r="D284" s="21621"/>
      <c r="E284" s="21622"/>
      <c r="F284" s="21622" t="s">
        <v>160</v>
      </c>
      <c r="G284" s="21622"/>
      <c r="H284" s="21623"/>
      <c r="I284" s="21621"/>
      <c r="J284" s="21621"/>
      <c r="K284" s="21621"/>
      <c r="L284" s="21624"/>
      <c r="M284" s="21625"/>
      <c r="N284" s="21625"/>
      <c r="O284" s="21264"/>
      <c r="P284" s="21910"/>
      <c r="Q284" s="21911"/>
      <c r="R284" s="21912"/>
      <c r="S284" s="26417"/>
      <c r="T284" s="26418" t="s">
        <v>624</v>
      </c>
      <c r="U284" s="26419"/>
      <c r="V284" s="26420"/>
      <c r="W284" s="26421"/>
      <c r="X284" s="26422"/>
      <c r="Y284" s="26423"/>
      <c r="Z284" s="26424"/>
      <c r="AA284" s="26425"/>
      <c r="AB284" s="26426"/>
      <c r="AC284" s="26427"/>
      <c r="AD284" s="26428"/>
      <c r="AE284" s="26429"/>
      <c r="AF284" s="26430"/>
      <c r="AG284" s="26431"/>
      <c r="AH284" s="26432"/>
      <c r="AI284" s="26433"/>
      <c r="AJ284" s="26434"/>
      <c r="AK284" s="26435"/>
      <c r="AL284" s="26436"/>
      <c r="AM284" s="26437"/>
      <c r="AN284" s="26438"/>
      <c r="AO284" s="26439"/>
      <c r="AP284" s="26440"/>
      <c r="AQ284" s="26441"/>
      <c r="AR284" s="26442"/>
      <c r="AS284" s="26443"/>
      <c r="AT284" s="26444"/>
      <c r="AU284" s="26445"/>
      <c r="AV284" s="26446"/>
      <c r="AW284" s="26447"/>
      <c r="AX284" s="26448"/>
      <c r="AY284" s="26449"/>
      <c r="AZ284" s="26450"/>
      <c r="BA284" s="26451"/>
      <c r="BB284" s="26452"/>
      <c r="BC284" s="26453"/>
      <c r="BD284" s="26454"/>
      <c r="BE284" s="26455"/>
      <c r="BF284" s="26456"/>
      <c r="BG284" s="26457"/>
      <c r="BH284" s="26458"/>
      <c r="BI284" s="26459"/>
      <c r="BJ284" s="26460"/>
      <c r="BK284" s="26461"/>
      <c r="BL284" s="26462"/>
      <c r="BM284" s="26463"/>
      <c r="BN284" s="26464"/>
      <c r="BO284" s="26465"/>
      <c r="BP284" s="26466"/>
      <c r="BQ284" s="26467"/>
      <c r="BR284" s="26468"/>
      <c r="BS284" s="26469"/>
      <c r="BT284" s="26470"/>
      <c r="BU284" s="26471"/>
      <c r="BV284" s="26472"/>
      <c r="BW284" s="26473"/>
      <c r="BX284" s="26474"/>
      <c r="BY284" s="26475"/>
      <c r="BZ284" s="26476"/>
      <c r="CA284" s="26477"/>
      <c r="CB284" s="26478"/>
      <c r="CC284" s="26479"/>
      <c r="CD284" s="26480"/>
      <c r="CE284" s="26481"/>
      <c r="CF284" s="26482"/>
      <c r="CG284" s="26483"/>
      <c r="CH284" s="26484"/>
      <c r="CI284" s="26485"/>
      <c r="CJ284" s="26486"/>
      <c r="CK284" s="26487"/>
      <c r="CL284" s="26488"/>
      <c r="CM284" s="26489"/>
      <c r="CN284" s="26490"/>
      <c r="CO284" s="26491"/>
      <c r="CP284" s="26492"/>
      <c r="CQ284" s="26493"/>
      <c r="CR284" s="26494"/>
      <c r="CS284" s="26495"/>
      <c r="CT284" s="26496"/>
      <c r="CU284" s="26497"/>
      <c r="CV284" s="26498"/>
      <c r="CW284" s="21281"/>
      <c r="CX284" s="21633"/>
      <c r="CY284" s="21633" t="str">
        <f>IF(T284="","",T284)</f>
        <v>Добавить наименование признака дифференциации</v>
      </c>
      <c r="CZ284" s="21633"/>
      <c r="DA284" s="21633"/>
      <c r="DB284" s="21020">
        <v>0</v>
      </c>
    </row>
    <row s="58449" customFormat="1" customHeight="1" ht="23.25">
      <c r="A285" s="21621"/>
      <c r="B285" s="21621"/>
      <c r="C285" s="21621" t="s">
        <v>356</v>
      </c>
      <c r="D285" s="21621"/>
      <c r="E285" s="21622"/>
      <c r="F285" s="21622"/>
      <c r="G285" s="21623" t="s">
        <v>105</v>
      </c>
      <c r="H285" s="21621"/>
      <c r="I285" s="21621"/>
      <c r="J285" s="21621"/>
      <c r="K285" s="21621"/>
      <c r="L285" s="21624"/>
      <c r="M285" s="21625"/>
      <c r="N285" s="21625"/>
      <c r="O285" s="21625"/>
      <c r="P285" s="21635"/>
      <c r="Q285" s="21627"/>
      <c r="R285" s="21628"/>
      <c r="S285" s="21629" t="str">
        <f>INDEX(PT_DIFFERENTIATION_NUM_CS,MATCH(C285,PT_DIFFERENTIATION_CS_ID,0))</f>
        <v>1.14.2</v>
      </c>
      <c r="T285" s="21636" t="s">
        <v>617</v>
      </c>
      <c r="U285" s="21631"/>
      <c r="V285" s="21025"/>
      <c r="W285" s="21026"/>
      <c r="X285" s="21026"/>
      <c r="Y285" s="21026"/>
      <c r="Z285" s="21026"/>
      <c r="AA285" s="21026"/>
      <c r="AB285" s="21027"/>
      <c r="AC285" s="21025" t="str">
        <f>INDEX(PT_DIFFERENTIATION_CS,MATCH(C285,PT_DIFFERENTIATION_CS_ID,0))</f>
        <v>МКР №1, №2, №3, №3-А, им. 50-летия Спасска, им. Блюхера, "Партизанский", "Заречная часть", п. Шиферный</v>
      </c>
      <c r="AD285" s="21026"/>
      <c r="AE285" s="21026"/>
      <c r="AF285" s="21026"/>
      <c r="AG285" s="21026"/>
      <c r="AH285" s="21026"/>
      <c r="AI285" s="21026"/>
      <c r="AJ285" s="21025"/>
      <c r="AK285" s="21026"/>
      <c r="AL285" s="21026"/>
      <c r="AM285" s="21026"/>
      <c r="AN285" s="21026"/>
      <c r="AO285" s="21026"/>
      <c r="AP285" s="21027"/>
      <c r="AQ285" s="21025"/>
      <c r="AR285" s="21026"/>
      <c r="AS285" s="21026"/>
      <c r="AT285" s="21026"/>
      <c r="AU285" s="21026"/>
      <c r="AV285" s="21026"/>
      <c r="AW285" s="21027"/>
      <c r="AX285" s="21025"/>
      <c r="AY285" s="21026"/>
      <c r="AZ285" s="21026"/>
      <c r="BA285" s="21026"/>
      <c r="BB285" s="21026"/>
      <c r="BC285" s="21026"/>
      <c r="BD285" s="21027"/>
      <c r="BE285" s="21025"/>
      <c r="BF285" s="21026"/>
      <c r="BG285" s="21026"/>
      <c r="BH285" s="21026"/>
      <c r="BI285" s="21026"/>
      <c r="BJ285" s="21026"/>
      <c r="BK285" s="21027"/>
      <c r="BL285" s="21025"/>
      <c r="BM285" s="21026"/>
      <c r="BN285" s="21026"/>
      <c r="BO285" s="21026"/>
      <c r="BP285" s="21026"/>
      <c r="BQ285" s="21026"/>
      <c r="BR285" s="21027"/>
      <c r="BS285" s="21025"/>
      <c r="BT285" s="21026"/>
      <c r="BU285" s="21026"/>
      <c r="BV285" s="21026"/>
      <c r="BW285" s="21026"/>
      <c r="BX285" s="21026"/>
      <c r="BY285" s="21027"/>
      <c r="BZ285" s="21025"/>
      <c r="CA285" s="21026"/>
      <c r="CB285" s="21026"/>
      <c r="CC285" s="21026"/>
      <c r="CD285" s="21026"/>
      <c r="CE285" s="21026"/>
      <c r="CF285" s="21027"/>
      <c r="CG285" s="21025"/>
      <c r="CH285" s="21026"/>
      <c r="CI285" s="21026"/>
      <c r="CJ285" s="21026"/>
      <c r="CK285" s="21026"/>
      <c r="CL285" s="21026"/>
      <c r="CM285" s="21027"/>
      <c r="CN285" s="21025"/>
      <c r="CO285" s="21026"/>
      <c r="CP285" s="21026"/>
      <c r="CQ285" s="21026"/>
      <c r="CR285" s="21026"/>
      <c r="CS285" s="21026"/>
      <c r="CT285" s="21027"/>
      <c r="CU285" s="21027"/>
      <c r="CV285" s="21632" t="s">
        <v>618</v>
      </c>
      <c r="CW285" s="21281"/>
      <c r="CX285" s="21633"/>
      <c r="CY285" s="21633" t="str">
        <f>IF(T285="","",T285)</f>
        <v>Наименование централизованной системы холодного водоснабжения</v>
      </c>
      <c r="CZ285" s="21633"/>
      <c r="DA285" s="21633"/>
      <c r="DB285" s="21020">
        <v>0</v>
      </c>
    </row>
    <row s="58450" customFormat="1" customHeight="1" ht="23.25">
      <c r="A286" s="21621"/>
      <c r="B286" s="21621"/>
      <c r="C286" s="21621"/>
      <c r="D286" s="21621"/>
      <c r="E286" s="21622"/>
      <c r="F286" s="21622"/>
      <c r="G286" s="21622">
        <v>1</v>
      </c>
      <c r="H286" s="21622"/>
      <c r="I286" s="21638" t="str">
        <f>S285&amp;".1"</f>
        <v>1.14.2.1</v>
      </c>
      <c r="J286" s="21621"/>
      <c r="K286" s="21621"/>
      <c r="L286" s="21624"/>
      <c r="M286" s="21639"/>
      <c r="N286" s="21639"/>
      <c r="O286" s="21639"/>
      <c r="P286" s="21640">
        <v>1</v>
      </c>
      <c r="Q286" s="21640"/>
      <c r="R286" s="21641"/>
      <c r="S286" s="21629" t="str">
        <f>$I286</f>
        <v>1.14.2.1</v>
      </c>
      <c r="T286" s="21642" t="s">
        <v>619</v>
      </c>
      <c r="U286" s="21631"/>
      <c r="V286" s="21038"/>
      <c r="W286" s="21039"/>
      <c r="X286" s="21039"/>
      <c r="Y286" s="21039"/>
      <c r="Z286" s="21039"/>
      <c r="AA286" s="21039"/>
      <c r="AB286" s="21040"/>
      <c r="AC286" s="21643"/>
      <c r="AD286" s="21644"/>
      <c r="AE286" s="21644"/>
      <c r="AF286" s="21644"/>
      <c r="AG286" s="21644"/>
      <c r="AH286" s="21644"/>
      <c r="AI286" s="21644"/>
      <c r="AJ286" s="21038"/>
      <c r="AK286" s="21039"/>
      <c r="AL286" s="21039"/>
      <c r="AM286" s="21039"/>
      <c r="AN286" s="21039"/>
      <c r="AO286" s="21039"/>
      <c r="AP286" s="21040"/>
      <c r="AQ286" s="21038"/>
      <c r="AR286" s="21039"/>
      <c r="AS286" s="21039"/>
      <c r="AT286" s="21039"/>
      <c r="AU286" s="21039"/>
      <c r="AV286" s="21039"/>
      <c r="AW286" s="21040"/>
      <c r="AX286" s="21038"/>
      <c r="AY286" s="21039"/>
      <c r="AZ286" s="21039"/>
      <c r="BA286" s="21039"/>
      <c r="BB286" s="21039"/>
      <c r="BC286" s="21039"/>
      <c r="BD286" s="21040"/>
      <c r="BE286" s="21038"/>
      <c r="BF286" s="21039"/>
      <c r="BG286" s="21039"/>
      <c r="BH286" s="21039"/>
      <c r="BI286" s="21039"/>
      <c r="BJ286" s="21039"/>
      <c r="BK286" s="21040"/>
      <c r="BL286" s="21038"/>
      <c r="BM286" s="21039"/>
      <c r="BN286" s="21039"/>
      <c r="BO286" s="21039"/>
      <c r="BP286" s="21039"/>
      <c r="BQ286" s="21039"/>
      <c r="BR286" s="21040"/>
      <c r="BS286" s="21038"/>
      <c r="BT286" s="21039"/>
      <c r="BU286" s="21039"/>
      <c r="BV286" s="21039"/>
      <c r="BW286" s="21039"/>
      <c r="BX286" s="21039"/>
      <c r="BY286" s="21040"/>
      <c r="BZ286" s="21038"/>
      <c r="CA286" s="21039"/>
      <c r="CB286" s="21039"/>
      <c r="CC286" s="21039"/>
      <c r="CD286" s="21039"/>
      <c r="CE286" s="21039"/>
      <c r="CF286" s="21040"/>
      <c r="CG286" s="21038"/>
      <c r="CH286" s="21039"/>
      <c r="CI286" s="21039"/>
      <c r="CJ286" s="21039"/>
      <c r="CK286" s="21039"/>
      <c r="CL286" s="21039"/>
      <c r="CM286" s="21040"/>
      <c r="CN286" s="21038"/>
      <c r="CO286" s="21039"/>
      <c r="CP286" s="21039"/>
      <c r="CQ286" s="21039"/>
      <c r="CR286" s="21039"/>
      <c r="CS286" s="21039"/>
      <c r="CT286" s="21040"/>
      <c r="CU286" s="21645"/>
      <c r="CV286" s="21632" t="s">
        <v>620</v>
      </c>
      <c r="CW286" s="21281"/>
      <c r="CX286" s="21633"/>
      <c r="CY286" s="21633" t="str">
        <f>IF(T286="","",T286)</f>
        <v>Наименование признака дифференциации</v>
      </c>
      <c r="CZ286" s="21633"/>
      <c r="DA286" s="21633"/>
      <c r="DB286" s="21020">
        <v>0</v>
      </c>
    </row>
    <row s="58451" customFormat="1" customHeight="1" ht="23.25">
      <c r="A287" s="21621"/>
      <c r="B287" s="21621"/>
      <c r="C287" s="21621"/>
      <c r="D287" s="21621"/>
      <c r="E287" s="21622"/>
      <c r="F287" s="21622"/>
      <c r="G287" s="21622">
        <v>1</v>
      </c>
      <c r="H287" s="21622"/>
      <c r="I287" s="21647"/>
      <c r="J287" s="21638" t="str">
        <f>I286&amp;".1"</f>
        <v>1.14.2.1.1</v>
      </c>
      <c r="K287" s="21621"/>
      <c r="L287" s="21624" t="s">
        <v>545</v>
      </c>
      <c r="M287" s="21639"/>
      <c r="N287" s="21639"/>
      <c r="O287" s="21639"/>
      <c r="P287" s="21640"/>
      <c r="Q287" s="21640">
        <v>1</v>
      </c>
      <c r="R287" s="21648"/>
      <c r="S287" s="21629" t="str">
        <f>$J287</f>
        <v>1.14.2.1.1</v>
      </c>
      <c r="T287" s="21649" t="s">
        <v>546</v>
      </c>
      <c r="U287" s="21631"/>
      <c r="V287" s="21045"/>
      <c r="W287" s="21046"/>
      <c r="X287" s="21046"/>
      <c r="Y287" s="21046"/>
      <c r="Z287" s="21046"/>
      <c r="AA287" s="21046"/>
      <c r="AB287" s="21047"/>
      <c r="AC287" s="21045" t="s">
        <v>632</v>
      </c>
      <c r="AD287" s="21046"/>
      <c r="AE287" s="21046"/>
      <c r="AF287" s="21046"/>
      <c r="AG287" s="21046"/>
      <c r="AH287" s="21046"/>
      <c r="AI287" s="21046"/>
      <c r="AJ287" s="21045"/>
      <c r="AK287" s="21046"/>
      <c r="AL287" s="21046"/>
      <c r="AM287" s="21046"/>
      <c r="AN287" s="21046"/>
      <c r="AO287" s="21046"/>
      <c r="AP287" s="21047"/>
      <c r="AQ287" s="21045"/>
      <c r="AR287" s="21046"/>
      <c r="AS287" s="21046"/>
      <c r="AT287" s="21046"/>
      <c r="AU287" s="21046"/>
      <c r="AV287" s="21046"/>
      <c r="AW287" s="21047"/>
      <c r="AX287" s="21045"/>
      <c r="AY287" s="21046"/>
      <c r="AZ287" s="21046"/>
      <c r="BA287" s="21046"/>
      <c r="BB287" s="21046"/>
      <c r="BC287" s="21046"/>
      <c r="BD287" s="21047"/>
      <c r="BE287" s="21045"/>
      <c r="BF287" s="21046"/>
      <c r="BG287" s="21046"/>
      <c r="BH287" s="21046"/>
      <c r="BI287" s="21046"/>
      <c r="BJ287" s="21046"/>
      <c r="BK287" s="21047"/>
      <c r="BL287" s="21045"/>
      <c r="BM287" s="21046"/>
      <c r="BN287" s="21046"/>
      <c r="BO287" s="21046"/>
      <c r="BP287" s="21046"/>
      <c r="BQ287" s="21046"/>
      <c r="BR287" s="21047"/>
      <c r="BS287" s="21045"/>
      <c r="BT287" s="21046"/>
      <c r="BU287" s="21046"/>
      <c r="BV287" s="21046"/>
      <c r="BW287" s="21046"/>
      <c r="BX287" s="21046"/>
      <c r="BY287" s="21047"/>
      <c r="BZ287" s="21045"/>
      <c r="CA287" s="21046"/>
      <c r="CB287" s="21046"/>
      <c r="CC287" s="21046"/>
      <c r="CD287" s="21046"/>
      <c r="CE287" s="21046"/>
      <c r="CF287" s="21047"/>
      <c r="CG287" s="21045"/>
      <c r="CH287" s="21046"/>
      <c r="CI287" s="21046"/>
      <c r="CJ287" s="21046"/>
      <c r="CK287" s="21046"/>
      <c r="CL287" s="21046"/>
      <c r="CM287" s="21047"/>
      <c r="CN287" s="21045"/>
      <c r="CO287" s="21046"/>
      <c r="CP287" s="21046"/>
      <c r="CQ287" s="21046"/>
      <c r="CR287" s="21046"/>
      <c r="CS287" s="21046"/>
      <c r="CT287" s="21047"/>
      <c r="CU287" s="21047"/>
      <c r="CV287" s="21650" t="s">
        <v>621</v>
      </c>
      <c r="CW287" s="21281"/>
      <c r="CX287" s="21633"/>
      <c r="CY287" s="21633" t="str">
        <f>IF(T287="","",T287)</f>
        <v>Группа потребителей</v>
      </c>
      <c r="CZ287" s="21633"/>
      <c r="DA287" s="21633"/>
      <c r="DB287" s="21020">
        <v>0</v>
      </c>
    </row>
    <row s="58452" customFormat="1" customHeight="1" ht="23.25">
      <c r="A288" s="21621"/>
      <c r="B288" s="21621"/>
      <c r="C288" s="21621"/>
      <c r="D288" s="21621"/>
      <c r="E288" s="21622"/>
      <c r="F288" s="21622"/>
      <c r="G288" s="21622">
        <v>1</v>
      </c>
      <c r="H288" s="21622"/>
      <c r="I288" s="21647"/>
      <c r="J288" s="21647"/>
      <c r="K288" s="21638" t="str">
        <f>J287&amp;".1"</f>
        <v>1.14.2.1.1.1</v>
      </c>
      <c r="L288" s="21624"/>
      <c r="M288" s="21639"/>
      <c r="N288" s="21639"/>
      <c r="O288" s="21639"/>
      <c r="P288" s="21640"/>
      <c r="Q288" s="21640"/>
      <c r="R288" s="21648">
        <v>1</v>
      </c>
      <c r="S288" s="21629" t="str">
        <f>$K288</f>
        <v>1.14.2.1.1.1</v>
      </c>
      <c r="T288" s="21652"/>
      <c r="U288" s="21631"/>
      <c r="V288" s="21053"/>
      <c r="W288" s="21053"/>
      <c r="X288" s="21054"/>
      <c r="Y288" s="21055"/>
      <c r="Z288" s="21056" t="s">
        <v>63</v>
      </c>
      <c r="AA288" s="21055"/>
      <c r="AB288" s="21056" t="s">
        <v>63</v>
      </c>
      <c r="AC288" s="21053">
        <v>34.18</v>
      </c>
      <c r="AD288" s="21053"/>
      <c r="AE288" s="21054"/>
      <c r="AF288" s="57093">
        <v>45292.63921296296</v>
      </c>
      <c r="AG288" s="21056" t="s">
        <v>63</v>
      </c>
      <c r="AH288" s="57094">
        <v>45473.639027777775</v>
      </c>
      <c r="AI288" s="21056" t="s">
        <v>63</v>
      </c>
      <c r="AJ288" s="21053">
        <v>44.42</v>
      </c>
      <c r="AK288" s="21053"/>
      <c r="AL288" s="21054"/>
      <c r="AM288" s="57093">
        <v>45474.638865740744</v>
      </c>
      <c r="AN288" s="21056" t="s">
        <v>63</v>
      </c>
      <c r="AO288" s="57093">
        <v>45657.638761574075</v>
      </c>
      <c r="AP288" s="21056" t="s">
        <v>63</v>
      </c>
      <c r="AQ288" s="21053">
        <v>44.42</v>
      </c>
      <c r="AR288" s="21053"/>
      <c r="AS288" s="21054"/>
      <c r="AT288" s="57093">
        <v>45658.6384375</v>
      </c>
      <c r="AU288" s="21056" t="s">
        <v>63</v>
      </c>
      <c r="AV288" s="57093">
        <v>45838.63821759259</v>
      </c>
      <c r="AW288" s="21056" t="s">
        <v>63</v>
      </c>
      <c r="AX288" s="21053">
        <v>54.2</v>
      </c>
      <c r="AY288" s="21053"/>
      <c r="AZ288" s="21054"/>
      <c r="BA288" s="57093">
        <v>45839.63799768518</v>
      </c>
      <c r="BB288" s="21056" t="s">
        <v>63</v>
      </c>
      <c r="BC288" s="57093">
        <v>46022.6378125</v>
      </c>
      <c r="BD288" s="21056" t="s">
        <v>63</v>
      </c>
      <c r="BE288" s="21053">
        <v>54.2</v>
      </c>
      <c r="BF288" s="21053"/>
      <c r="BG288" s="21054"/>
      <c r="BH288" s="57093">
        <v>46023.63748842593</v>
      </c>
      <c r="BI288" s="21056" t="s">
        <v>63</v>
      </c>
      <c r="BJ288" s="57093">
        <v>46203.637291666666</v>
      </c>
      <c r="BK288" s="21056" t="s">
        <v>63</v>
      </c>
      <c r="BL288" s="21053">
        <v>56.36</v>
      </c>
      <c r="BM288" s="21053"/>
      <c r="BN288" s="21054"/>
      <c r="BO288" s="57093">
        <v>46204.63680555556</v>
      </c>
      <c r="BP288" s="21056" t="s">
        <v>63</v>
      </c>
      <c r="BQ288" s="57093">
        <v>46387.636666666665</v>
      </c>
      <c r="BR288" s="21056" t="s">
        <v>63</v>
      </c>
      <c r="BS288" s="21053">
        <v>56.36</v>
      </c>
      <c r="BT288" s="21053"/>
      <c r="BU288" s="21054"/>
      <c r="BV288" s="57093">
        <v>46388.636296296296</v>
      </c>
      <c r="BW288" s="21056" t="s">
        <v>63</v>
      </c>
      <c r="BX288" s="57093">
        <v>46568.636041666665</v>
      </c>
      <c r="BY288" s="21056" t="s">
        <v>63</v>
      </c>
      <c r="BZ288" s="21053">
        <v>57.49</v>
      </c>
      <c r="CA288" s="21053"/>
      <c r="CB288" s="21054"/>
      <c r="CC288" s="57093">
        <v>46569.63576388889</v>
      </c>
      <c r="CD288" s="21056" t="s">
        <v>63</v>
      </c>
      <c r="CE288" s="57093">
        <v>46752.63550925926</v>
      </c>
      <c r="CF288" s="21056" t="s">
        <v>63</v>
      </c>
      <c r="CG288" s="21053">
        <v>57.49</v>
      </c>
      <c r="CH288" s="21053"/>
      <c r="CI288" s="21054"/>
      <c r="CJ288" s="57093">
        <v>46753.63505787037</v>
      </c>
      <c r="CK288" s="21056" t="s">
        <v>63</v>
      </c>
      <c r="CL288" s="57093">
        <v>46934.63482638889</v>
      </c>
      <c r="CM288" s="21056" t="s">
        <v>63</v>
      </c>
      <c r="CN288" s="21053">
        <v>57.71</v>
      </c>
      <c r="CO288" s="21053"/>
      <c r="CP288" s="21054"/>
      <c r="CQ288" s="57093">
        <v>46935.63444444445</v>
      </c>
      <c r="CR288" s="21056" t="s">
        <v>63</v>
      </c>
      <c r="CS288" s="57093">
        <v>47118.63429398148</v>
      </c>
      <c r="CT288" s="21056" t="s">
        <v>63</v>
      </c>
      <c r="CU288" s="21653"/>
      <c r="CV288"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8" s="21281">
        <f>STRCHECKDATE(V289:CU289)</f>
      </c>
      <c r="CX288" s="21633"/>
      <c r="CY288" s="21633" t="str">
        <f>IF(T288="","",T288)</f>
        <v/>
      </c>
      <c r="CZ288" s="21633"/>
      <c r="DA288" s="21633"/>
      <c r="DB288" s="21020">
        <v>0</v>
      </c>
    </row>
    <row s="58453" customFormat="1" customHeight="1" ht="14.25">
      <c r="A289" s="21621"/>
      <c r="B289" s="21621"/>
      <c r="C289" s="21621"/>
      <c r="D289" s="21621"/>
      <c r="E289" s="21622"/>
      <c r="F289" s="21622"/>
      <c r="G289" s="21622">
        <v>1</v>
      </c>
      <c r="H289" s="21622"/>
      <c r="I289" s="21647"/>
      <c r="J289" s="21647"/>
      <c r="K289" s="21638"/>
      <c r="L289" s="21624"/>
      <c r="M289" s="21639"/>
      <c r="N289" s="21639"/>
      <c r="O289" s="21639"/>
      <c r="P289" s="21640"/>
      <c r="Q289" s="21640"/>
      <c r="R289" s="21648"/>
      <c r="S289" s="21656"/>
      <c r="T289" s="21631"/>
      <c r="U289" s="21631"/>
      <c r="V289" s="21063"/>
      <c r="W289" s="21063"/>
      <c r="X289" s="21064" t="str">
        <f>Y288&amp;"-"&amp;AA288</f>
        <v>-</v>
      </c>
      <c r="Y289" s="21065"/>
      <c r="Z289" s="21056"/>
      <c r="AA289" s="21065"/>
      <c r="AB289" s="21056"/>
      <c r="AC289" s="21063"/>
      <c r="AD289" s="21063"/>
      <c r="AE289" s="21064" t="str">
        <f>AF288&amp;"-"&amp;AH288</f>
        <v>45292.63921296296-45473.639027777775</v>
      </c>
      <c r="AF289" s="21065"/>
      <c r="AG289" s="21056"/>
      <c r="AH289" s="21324"/>
      <c r="AI289" s="21056"/>
      <c r="AJ289" s="21063"/>
      <c r="AK289" s="21063"/>
      <c r="AL289" s="21064" t="str">
        <f>AM288&amp;"-"&amp;AO288</f>
        <v>45474.638865740744-45657.638761574075</v>
      </c>
      <c r="AM289" s="21065"/>
      <c r="AN289" s="21056"/>
      <c r="AO289" s="21065"/>
      <c r="AP289" s="21056"/>
      <c r="AQ289" s="21063"/>
      <c r="AR289" s="21063"/>
      <c r="AS289" s="21064" t="str">
        <f>AT288&amp;"-"&amp;AV288</f>
        <v>45658.6384375-45838.63821759259</v>
      </c>
      <c r="AT289" s="21065"/>
      <c r="AU289" s="21056"/>
      <c r="AV289" s="21065"/>
      <c r="AW289" s="21056"/>
      <c r="AX289" s="21063"/>
      <c r="AY289" s="21063"/>
      <c r="AZ289" s="21064" t="str">
        <f>BA288&amp;"-"&amp;BC288</f>
        <v>45839.63799768518-46022.6378125</v>
      </c>
      <c r="BA289" s="21065"/>
      <c r="BB289" s="21056"/>
      <c r="BC289" s="21065"/>
      <c r="BD289" s="21056"/>
      <c r="BE289" s="21063"/>
      <c r="BF289" s="21063"/>
      <c r="BG289" s="21064" t="str">
        <f>BH288&amp;"-"&amp;BJ288</f>
        <v>46023.63748842593-46203.637291666666</v>
      </c>
      <c r="BH289" s="21065"/>
      <c r="BI289" s="21056"/>
      <c r="BJ289" s="21065"/>
      <c r="BK289" s="21056"/>
      <c r="BL289" s="21063"/>
      <c r="BM289" s="21063"/>
      <c r="BN289" s="21064" t="str">
        <f>BO288&amp;"-"&amp;BQ288</f>
        <v>46204.63680555556-46387.636666666665</v>
      </c>
      <c r="BO289" s="21065"/>
      <c r="BP289" s="21056"/>
      <c r="BQ289" s="21065"/>
      <c r="BR289" s="21056"/>
      <c r="BS289" s="21063"/>
      <c r="BT289" s="21063"/>
      <c r="BU289" s="21064" t="str">
        <f>BV288&amp;"-"&amp;BX288</f>
        <v>46388.636296296296-46568.636041666665</v>
      </c>
      <c r="BV289" s="21065"/>
      <c r="BW289" s="21056"/>
      <c r="BX289" s="21065"/>
      <c r="BY289" s="21056"/>
      <c r="BZ289" s="21063"/>
      <c r="CA289" s="21063"/>
      <c r="CB289" s="21064" t="str">
        <f>CC288&amp;"-"&amp;CE288</f>
        <v>46569.63576388889-46752.63550925926</v>
      </c>
      <c r="CC289" s="21065"/>
      <c r="CD289" s="21056"/>
      <c r="CE289" s="21065"/>
      <c r="CF289" s="21056"/>
      <c r="CG289" s="21063"/>
      <c r="CH289" s="21063"/>
      <c r="CI289" s="21064" t="str">
        <f>CJ288&amp;"-"&amp;CL288</f>
        <v>46753.63505787037-46934.63482638889</v>
      </c>
      <c r="CJ289" s="21065"/>
      <c r="CK289" s="21056"/>
      <c r="CL289" s="21065"/>
      <c r="CM289" s="21056"/>
      <c r="CN289" s="21063"/>
      <c r="CO289" s="21063"/>
      <c r="CP289" s="21064" t="str">
        <f>CQ288&amp;"-"&amp;CS288</f>
        <v>46935.63444444445-47118.63429398148</v>
      </c>
      <c r="CQ289" s="21065"/>
      <c r="CR289" s="21056"/>
      <c r="CS289" s="21065"/>
      <c r="CT289" s="21056"/>
      <c r="CU289" s="21657"/>
      <c r="CV289" s="21654"/>
      <c r="CW289" s="21281"/>
      <c r="CX289" s="21633"/>
      <c r="CY289" s="21633" t="str">
        <f>IF(T289="","",T289)</f>
        <v/>
      </c>
      <c r="CZ289" s="21633"/>
      <c r="DA289" s="21633"/>
      <c r="DB289" s="21020">
        <v>0</v>
      </c>
    </row>
    <row s="58454" customFormat="1" customHeight="1" ht="21">
      <c r="A290" s="21621"/>
      <c r="B290" s="21621"/>
      <c r="C290" s="21621"/>
      <c r="D290" s="21621"/>
      <c r="E290" s="21622"/>
      <c r="F290" s="21622"/>
      <c r="G290" s="21622">
        <v>1</v>
      </c>
      <c r="H290" s="21622"/>
      <c r="I290" s="21647"/>
      <c r="J290" s="21638"/>
      <c r="K290" s="21621"/>
      <c r="L290" s="21624"/>
      <c r="M290" s="21639"/>
      <c r="N290" s="21639"/>
      <c r="O290" s="21639"/>
      <c r="P290" s="21640"/>
      <c r="Q290" s="21640"/>
      <c r="R290" s="21641"/>
      <c r="S290" s="26505"/>
      <c r="T290" s="26506" t="s">
        <v>622</v>
      </c>
      <c r="U290" s="26507"/>
      <c r="V290" s="26508"/>
      <c r="W290" s="26509"/>
      <c r="X290" s="26510"/>
      <c r="Y290" s="26511"/>
      <c r="Z290" s="26512"/>
      <c r="AA290" s="26513"/>
      <c r="AB290" s="26514"/>
      <c r="AC290" s="26515"/>
      <c r="AD290" s="26516"/>
      <c r="AE290" s="26517"/>
      <c r="AF290" s="26518"/>
      <c r="AG290" s="26519"/>
      <c r="AH290" s="26520"/>
      <c r="AI290" s="26521"/>
      <c r="AJ290" s="26522"/>
      <c r="AK290" s="26523"/>
      <c r="AL290" s="26524"/>
      <c r="AM290" s="26525"/>
      <c r="AN290" s="26526"/>
      <c r="AO290" s="26527"/>
      <c r="AP290" s="26528"/>
      <c r="AQ290" s="26529"/>
      <c r="AR290" s="26530"/>
      <c r="AS290" s="26531"/>
      <c r="AT290" s="26532"/>
      <c r="AU290" s="26533"/>
      <c r="AV290" s="26534"/>
      <c r="AW290" s="26535"/>
      <c r="AX290" s="26536"/>
      <c r="AY290" s="26537"/>
      <c r="AZ290" s="26538"/>
      <c r="BA290" s="26539"/>
      <c r="BB290" s="26540"/>
      <c r="BC290" s="26541"/>
      <c r="BD290" s="26542"/>
      <c r="BE290" s="26543"/>
      <c r="BF290" s="26544"/>
      <c r="BG290" s="26545"/>
      <c r="BH290" s="26546"/>
      <c r="BI290" s="26547"/>
      <c r="BJ290" s="26548"/>
      <c r="BK290" s="26549"/>
      <c r="BL290" s="26550"/>
      <c r="BM290" s="26551"/>
      <c r="BN290" s="26552"/>
      <c r="BO290" s="26553"/>
      <c r="BP290" s="26554"/>
      <c r="BQ290" s="26555"/>
      <c r="BR290" s="26556"/>
      <c r="BS290" s="26557"/>
      <c r="BT290" s="26558"/>
      <c r="BU290" s="26559"/>
      <c r="BV290" s="26560"/>
      <c r="BW290" s="26561"/>
      <c r="BX290" s="26562"/>
      <c r="BY290" s="26563"/>
      <c r="BZ290" s="26564"/>
      <c r="CA290" s="26565"/>
      <c r="CB290" s="26566"/>
      <c r="CC290" s="26567"/>
      <c r="CD290" s="26568"/>
      <c r="CE290" s="26569"/>
      <c r="CF290" s="26570"/>
      <c r="CG290" s="26571"/>
      <c r="CH290" s="26572"/>
      <c r="CI290" s="26573"/>
      <c r="CJ290" s="26574"/>
      <c r="CK290" s="26575"/>
      <c r="CL290" s="26576"/>
      <c r="CM290" s="26577"/>
      <c r="CN290" s="26578"/>
      <c r="CO290" s="26579"/>
      <c r="CP290" s="26580"/>
      <c r="CQ290" s="26581"/>
      <c r="CR290" s="26582"/>
      <c r="CS290" s="26583"/>
      <c r="CT290" s="26584"/>
      <c r="CU290" s="26585"/>
      <c r="CV290" s="21632" t="s">
        <v>623</v>
      </c>
      <c r="CW290" s="21281"/>
      <c r="CX290" s="21633"/>
      <c r="CY290" s="21633" t="str">
        <f>IF(T290="","",T290)</f>
        <v>Добавить значение признака дифференциации</v>
      </c>
      <c r="CZ290" s="21633"/>
      <c r="DA290" s="21633"/>
      <c r="DB290" s="21020">
        <v>0</v>
      </c>
    </row>
    <row s="58536" customFormat="1" customHeight="1" ht="23.25">
      <c r="A291" s="33106"/>
      <c r="B291" s="33106"/>
      <c r="C291" s="33106"/>
      <c r="D291" s="33106"/>
      <c r="E291" s="33107"/>
      <c r="F291" s="33107"/>
      <c r="G291" s="33107"/>
      <c r="H291" s="33107"/>
      <c r="I291" s="33108"/>
      <c r="J291" s="33109" t="str">
        <f>I286&amp;".2"</f>
        <v>1.14.2.1.2</v>
      </c>
      <c r="K291" s="33106"/>
      <c r="L291" s="33110" t="s">
        <v>545</v>
      </c>
      <c r="M291" s="33111"/>
      <c r="N291" s="33111"/>
      <c r="O291" s="33111"/>
      <c r="P291" s="33112"/>
      <c r="Q291" s="33113" t="s">
        <v>106</v>
      </c>
      <c r="R291" s="33114"/>
      <c r="S291" s="33115" t="str">
        <f>$J291</f>
        <v>1.14.2.1.2</v>
      </c>
      <c r="T291" s="33116" t="s">
        <v>546</v>
      </c>
      <c r="U291" s="33117"/>
      <c r="V291" s="33118"/>
      <c r="W291" s="33119"/>
      <c r="X291" s="33119"/>
      <c r="Y291" s="33119"/>
      <c r="Z291" s="33119"/>
      <c r="AA291" s="33119"/>
      <c r="AB291" s="33120"/>
      <c r="AC291" s="33118" t="s">
        <v>633</v>
      </c>
      <c r="AD291" s="33119"/>
      <c r="AE291" s="33119"/>
      <c r="AF291" s="33119"/>
      <c r="AG291" s="33119"/>
      <c r="AH291" s="33119"/>
      <c r="AI291" s="33119"/>
      <c r="AJ291" s="33118"/>
      <c r="AK291" s="33119"/>
      <c r="AL291" s="33119"/>
      <c r="AM291" s="33119"/>
      <c r="AN291" s="33119"/>
      <c r="AO291" s="33119"/>
      <c r="AP291" s="33120"/>
      <c r="AQ291" s="33118"/>
      <c r="AR291" s="33119"/>
      <c r="AS291" s="33119"/>
      <c r="AT291" s="33119"/>
      <c r="AU291" s="33119"/>
      <c r="AV291" s="33119"/>
      <c r="AW291" s="33120"/>
      <c r="AX291" s="33118"/>
      <c r="AY291" s="33119"/>
      <c r="AZ291" s="33119"/>
      <c r="BA291" s="33119"/>
      <c r="BB291" s="33119"/>
      <c r="BC291" s="33119"/>
      <c r="BD291" s="33120"/>
      <c r="BE291" s="33118"/>
      <c r="BF291" s="33119"/>
      <c r="BG291" s="33119"/>
      <c r="BH291" s="33119"/>
      <c r="BI291" s="33119"/>
      <c r="BJ291" s="33119"/>
      <c r="BK291" s="33120"/>
      <c r="BL291" s="33118"/>
      <c r="BM291" s="33119"/>
      <c r="BN291" s="33119"/>
      <c r="BO291" s="33119"/>
      <c r="BP291" s="33119"/>
      <c r="BQ291" s="33119"/>
      <c r="BR291" s="33120"/>
      <c r="BS291" s="33118"/>
      <c r="BT291" s="33119"/>
      <c r="BU291" s="33119"/>
      <c r="BV291" s="33119"/>
      <c r="BW291" s="33119"/>
      <c r="BX291" s="33119"/>
      <c r="BY291" s="33120"/>
      <c r="BZ291" s="33118"/>
      <c r="CA291" s="33119"/>
      <c r="CB291" s="33119"/>
      <c r="CC291" s="33119"/>
      <c r="CD291" s="33119"/>
      <c r="CE291" s="33119"/>
      <c r="CF291" s="33120"/>
      <c r="CG291" s="33118"/>
      <c r="CH291" s="33119"/>
      <c r="CI291" s="33119"/>
      <c r="CJ291" s="33119"/>
      <c r="CK291" s="33119"/>
      <c r="CL291" s="33119"/>
      <c r="CM291" s="33120"/>
      <c r="CN291" s="33118"/>
      <c r="CO291" s="33119"/>
      <c r="CP291" s="33119"/>
      <c r="CQ291" s="33119"/>
      <c r="CR291" s="33119"/>
      <c r="CS291" s="33119"/>
      <c r="CT291" s="33121"/>
      <c r="CU291" s="33120"/>
      <c r="CV291" s="33122" t="s">
        <v>621</v>
      </c>
      <c r="CW291" s="33123"/>
      <c r="CX291" s="33124"/>
      <c r="CY291" s="33124" t="str">
        <f>IF(T291="","",T291)</f>
        <v>Группа потребителей</v>
      </c>
      <c r="CZ291" s="33124"/>
      <c r="DA291" s="33124"/>
      <c r="DB291" s="33125">
        <v>0</v>
      </c>
    </row>
    <row s="58537" customFormat="1" customHeight="1" ht="23.25">
      <c r="A292" s="33106"/>
      <c r="B292" s="33106"/>
      <c r="C292" s="33106"/>
      <c r="D292" s="33106"/>
      <c r="E292" s="33107"/>
      <c r="F292" s="33107"/>
      <c r="G292" s="33107"/>
      <c r="H292" s="33107"/>
      <c r="I292" s="33108"/>
      <c r="J292" s="33108" t="str">
        <f>I286&amp;".1"</f>
        <v>1.14.2.1.1</v>
      </c>
      <c r="K292" s="33109" t="str">
        <f>J291&amp;".1"</f>
        <v>1.14.2.1.2.1</v>
      </c>
      <c r="L292" s="33110"/>
      <c r="M292" s="33111"/>
      <c r="N292" s="33111"/>
      <c r="O292" s="33111"/>
      <c r="P292" s="33112"/>
      <c r="Q292" s="33112"/>
      <c r="R292" s="33114">
        <v>1</v>
      </c>
      <c r="S292" s="33115" t="str">
        <f>$K292</f>
        <v>1.14.2.1.2.1</v>
      </c>
      <c r="T292" s="33127"/>
      <c r="U292" s="33117"/>
      <c r="V292" s="33128"/>
      <c r="W292" s="33128"/>
      <c r="X292" s="33129"/>
      <c r="Y292" s="33020"/>
      <c r="Z292" s="33130" t="s">
        <v>63</v>
      </c>
      <c r="AA292" s="33020"/>
      <c r="AB292" s="33130" t="s">
        <v>63</v>
      </c>
      <c r="AC292" s="33128">
        <v>28.48</v>
      </c>
      <c r="AD292" s="33128"/>
      <c r="AE292" s="33129"/>
      <c r="AF292" s="57093">
        <v>45292.6391087963</v>
      </c>
      <c r="AG292" s="33130" t="s">
        <v>63</v>
      </c>
      <c r="AH292" s="57094">
        <v>45473.63894675926</v>
      </c>
      <c r="AI292" s="33130" t="s">
        <v>63</v>
      </c>
      <c r="AJ292" s="33128">
        <v>37.02</v>
      </c>
      <c r="AK292" s="33128"/>
      <c r="AL292" s="33129"/>
      <c r="AM292" s="57093">
        <v>45474.63878472222</v>
      </c>
      <c r="AN292" s="33130" t="s">
        <v>63</v>
      </c>
      <c r="AO292" s="57093">
        <v>45657.638703703706</v>
      </c>
      <c r="AP292" s="33130" t="s">
        <v>63</v>
      </c>
      <c r="AQ292" s="33128">
        <v>37.02</v>
      </c>
      <c r="AR292" s="33128"/>
      <c r="AS292" s="33129"/>
      <c r="AT292" s="57093">
        <v>45658.63832175926</v>
      </c>
      <c r="AU292" s="33130" t="s">
        <v>63</v>
      </c>
      <c r="AV292" s="57093">
        <v>45838.63811342593</v>
      </c>
      <c r="AW292" s="33130" t="s">
        <v>63</v>
      </c>
      <c r="AX292" s="33128">
        <v>45.17</v>
      </c>
      <c r="AY292" s="33128"/>
      <c r="AZ292" s="33129"/>
      <c r="BA292" s="57093">
        <v>45839.63789351852</v>
      </c>
      <c r="BB292" s="33130" t="s">
        <v>63</v>
      </c>
      <c r="BC292" s="57093">
        <v>46022.63773148148</v>
      </c>
      <c r="BD292" s="33130" t="s">
        <v>63</v>
      </c>
      <c r="BE292" s="33128">
        <v>45.17</v>
      </c>
      <c r="BF292" s="33128"/>
      <c r="BG292" s="33129"/>
      <c r="BH292" s="57093">
        <v>46023.63737268518</v>
      </c>
      <c r="BI292" s="33130" t="s">
        <v>63</v>
      </c>
      <c r="BJ292" s="57093">
        <v>46203.637141203704</v>
      </c>
      <c r="BK292" s="33130" t="s">
        <v>63</v>
      </c>
      <c r="BL292" s="33128">
        <v>46.97</v>
      </c>
      <c r="BM292" s="33128"/>
      <c r="BN292" s="33129"/>
      <c r="BO292" s="57093">
        <v>46204.63693287037</v>
      </c>
      <c r="BP292" s="33130" t="s">
        <v>63</v>
      </c>
      <c r="BQ292" s="57093">
        <v>46387.63655092593</v>
      </c>
      <c r="BR292" s="33130" t="s">
        <v>63</v>
      </c>
      <c r="BS292" s="33128">
        <v>46.97</v>
      </c>
      <c r="BT292" s="33128"/>
      <c r="BU292" s="33129"/>
      <c r="BV292" s="57093">
        <v>46388.63615740741</v>
      </c>
      <c r="BW292" s="33130" t="s">
        <v>63</v>
      </c>
      <c r="BX292" s="57093">
        <v>46568.635925925926</v>
      </c>
      <c r="BY292" s="33130" t="s">
        <v>63</v>
      </c>
      <c r="BZ292" s="33128">
        <v>47.91</v>
      </c>
      <c r="CA292" s="33128"/>
      <c r="CB292" s="33129"/>
      <c r="CC292" s="57093">
        <v>46569.63563657407</v>
      </c>
      <c r="CD292" s="33130" t="s">
        <v>63</v>
      </c>
      <c r="CE292" s="57093">
        <v>46752.635300925926</v>
      </c>
      <c r="CF292" s="33130" t="s">
        <v>63</v>
      </c>
      <c r="CG292" s="33128">
        <v>47.91</v>
      </c>
      <c r="CH292" s="33128"/>
      <c r="CI292" s="33129"/>
      <c r="CJ292" s="57093">
        <v>46753.63494212963</v>
      </c>
      <c r="CK292" s="33130" t="s">
        <v>63</v>
      </c>
      <c r="CL292" s="57093">
        <v>46934.634675925925</v>
      </c>
      <c r="CM292" s="33130" t="s">
        <v>63</v>
      </c>
      <c r="CN292" s="33128">
        <v>48.09</v>
      </c>
      <c r="CO292" s="33128"/>
      <c r="CP292" s="33129"/>
      <c r="CQ292" s="57093">
        <v>46935.63454861111</v>
      </c>
      <c r="CR292" s="33130" t="s">
        <v>63</v>
      </c>
      <c r="CS292" s="57093">
        <v>47118.634375</v>
      </c>
      <c r="CT292" s="33131" t="s">
        <v>63</v>
      </c>
      <c r="CU292" s="33132"/>
      <c r="CV292"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92" s="33123">
        <f>STRCHECKDATE(V293:CU293)</f>
      </c>
      <c r="CX292" s="33124"/>
      <c r="CY292" s="33124" t="str">
        <f>IF(T292="","",T292)</f>
        <v/>
      </c>
      <c r="CZ292" s="33124"/>
      <c r="DA292" s="33124"/>
      <c r="DB292" s="33125">
        <v>0</v>
      </c>
    </row>
    <row s="58538" customFormat="1" customHeight="1" ht="14.25">
      <c r="A293" s="33106"/>
      <c r="B293" s="33106"/>
      <c r="C293" s="33106"/>
      <c r="D293" s="33106"/>
      <c r="E293" s="33107"/>
      <c r="F293" s="33107"/>
      <c r="G293" s="33107"/>
      <c r="H293" s="33107"/>
      <c r="I293" s="33108"/>
      <c r="J293" s="33108" t="str">
        <f>I286&amp;".1"</f>
        <v>1.14.2.1.1</v>
      </c>
      <c r="K293" s="33109"/>
      <c r="L293" s="33110"/>
      <c r="M293" s="33111"/>
      <c r="N293" s="33111"/>
      <c r="O293" s="33111"/>
      <c r="P293" s="33112"/>
      <c r="Q293" s="33112"/>
      <c r="R293" s="33114"/>
      <c r="S293" s="33135"/>
      <c r="T293" s="33117"/>
      <c r="U293" s="33117"/>
      <c r="V293" s="33136"/>
      <c r="W293" s="33136"/>
      <c r="X293" s="33137" t="str">
        <f>Y292&amp;"-"&amp;AA292</f>
        <v>-</v>
      </c>
      <c r="Y293" s="33138"/>
      <c r="Z293" s="33130"/>
      <c r="AA293" s="33138"/>
      <c r="AB293" s="33130"/>
      <c r="AC293" s="33136"/>
      <c r="AD293" s="33136"/>
      <c r="AE293" s="33137" t="str">
        <f>AF292&amp;"-"&amp;AH292</f>
        <v>45292.6391087963-45473.63894675926</v>
      </c>
      <c r="AF293" s="33138"/>
      <c r="AG293" s="33130"/>
      <c r="AH293" s="33139"/>
      <c r="AI293" s="33130"/>
      <c r="AJ293" s="33136"/>
      <c r="AK293" s="33136"/>
      <c r="AL293" s="33137" t="str">
        <f>AM292&amp;"-"&amp;AO292</f>
        <v>45474.63878472222-45657.638703703706</v>
      </c>
      <c r="AM293" s="33138"/>
      <c r="AN293" s="33130"/>
      <c r="AO293" s="33138"/>
      <c r="AP293" s="33130"/>
      <c r="AQ293" s="33136"/>
      <c r="AR293" s="33136"/>
      <c r="AS293" s="33137" t="str">
        <f>AT292&amp;"-"&amp;AV292</f>
        <v>45658.63832175926-45838.63811342593</v>
      </c>
      <c r="AT293" s="33138"/>
      <c r="AU293" s="33130"/>
      <c r="AV293" s="33138"/>
      <c r="AW293" s="33130"/>
      <c r="AX293" s="33136"/>
      <c r="AY293" s="33136"/>
      <c r="AZ293" s="33137" t="str">
        <f>BA292&amp;"-"&amp;BC292</f>
        <v>45839.63789351852-46022.63773148148</v>
      </c>
      <c r="BA293" s="33138"/>
      <c r="BB293" s="33130"/>
      <c r="BC293" s="33138"/>
      <c r="BD293" s="33130"/>
      <c r="BE293" s="33136"/>
      <c r="BF293" s="33136"/>
      <c r="BG293" s="33137" t="str">
        <f>BH292&amp;"-"&amp;BJ292</f>
        <v>46023.63737268518-46203.637141203704</v>
      </c>
      <c r="BH293" s="33138"/>
      <c r="BI293" s="33130"/>
      <c r="BJ293" s="33138"/>
      <c r="BK293" s="33130"/>
      <c r="BL293" s="33136"/>
      <c r="BM293" s="33136"/>
      <c r="BN293" s="33137" t="str">
        <f>BO292&amp;"-"&amp;BQ292</f>
        <v>46204.63693287037-46387.63655092593</v>
      </c>
      <c r="BO293" s="33138"/>
      <c r="BP293" s="33130"/>
      <c r="BQ293" s="33138"/>
      <c r="BR293" s="33130"/>
      <c r="BS293" s="33136"/>
      <c r="BT293" s="33136"/>
      <c r="BU293" s="33137" t="str">
        <f>BV292&amp;"-"&amp;BX292</f>
        <v>46388.63615740741-46568.635925925926</v>
      </c>
      <c r="BV293" s="33138"/>
      <c r="BW293" s="33130"/>
      <c r="BX293" s="33138"/>
      <c r="BY293" s="33130"/>
      <c r="BZ293" s="33136"/>
      <c r="CA293" s="33136"/>
      <c r="CB293" s="33137" t="str">
        <f>CC292&amp;"-"&amp;CE292</f>
        <v>46569.63563657407-46752.635300925926</v>
      </c>
      <c r="CC293" s="33138"/>
      <c r="CD293" s="33130"/>
      <c r="CE293" s="33138"/>
      <c r="CF293" s="33130"/>
      <c r="CG293" s="33136"/>
      <c r="CH293" s="33136"/>
      <c r="CI293" s="33137" t="str">
        <f>CJ292&amp;"-"&amp;CL292</f>
        <v>46753.63494212963-46934.634675925925</v>
      </c>
      <c r="CJ293" s="33138"/>
      <c r="CK293" s="33130"/>
      <c r="CL293" s="33138"/>
      <c r="CM293" s="33130"/>
      <c r="CN293" s="33136"/>
      <c r="CO293" s="33136"/>
      <c r="CP293" s="33137" t="str">
        <f>CQ292&amp;"-"&amp;CS292</f>
        <v>46935.63454861111-47118.634375</v>
      </c>
      <c r="CQ293" s="33138"/>
      <c r="CR293" s="33130"/>
      <c r="CS293" s="33138"/>
      <c r="CT293" s="33131"/>
      <c r="CU293" s="33140"/>
      <c r="CV293" s="33133"/>
      <c r="CW293" s="33123"/>
      <c r="CX293" s="33124"/>
      <c r="CY293" s="33124" t="str">
        <f>IF(T293="","",T293)</f>
        <v/>
      </c>
      <c r="CZ293" s="33124"/>
      <c r="DA293" s="33124"/>
      <c r="DB293" s="33125">
        <v>0</v>
      </c>
    </row>
    <row s="58539" customFormat="1" customHeight="1" ht="21">
      <c r="A294" s="33106"/>
      <c r="B294" s="33106"/>
      <c r="C294" s="33106"/>
      <c r="D294" s="33106"/>
      <c r="E294" s="33107"/>
      <c r="F294" s="33107"/>
      <c r="G294" s="33107"/>
      <c r="H294" s="33107"/>
      <c r="I294" s="33108"/>
      <c r="J294" s="33109" t="str">
        <f>I286&amp;".1"</f>
        <v>1.14.2.1.1</v>
      </c>
      <c r="K294" s="33106"/>
      <c r="L294" s="33110"/>
      <c r="M294" s="33111"/>
      <c r="N294" s="33111"/>
      <c r="O294" s="33111"/>
      <c r="P294" s="33112"/>
      <c r="Q294" s="33112"/>
      <c r="R294" s="33142"/>
      <c r="S294" s="36880"/>
      <c r="T294" s="36881" t="s">
        <v>622</v>
      </c>
      <c r="U294" s="36882"/>
      <c r="V294" s="36883"/>
      <c r="W294" s="36884"/>
      <c r="X294" s="36885"/>
      <c r="Y294" s="36886"/>
      <c r="Z294" s="36887"/>
      <c r="AA294" s="36888"/>
      <c r="AB294" s="36889"/>
      <c r="AC294" s="36890"/>
      <c r="AD294" s="36891"/>
      <c r="AE294" s="36892"/>
      <c r="AF294" s="36893"/>
      <c r="AG294" s="36894"/>
      <c r="AH294" s="36895"/>
      <c r="AI294" s="36896"/>
      <c r="AJ294" s="36897"/>
      <c r="AK294" s="36898"/>
      <c r="AL294" s="36899"/>
      <c r="AM294" s="36900"/>
      <c r="AN294" s="36901"/>
      <c r="AO294" s="36902"/>
      <c r="AP294" s="36903"/>
      <c r="AQ294" s="36904"/>
      <c r="AR294" s="36905"/>
      <c r="AS294" s="36906"/>
      <c r="AT294" s="36907"/>
      <c r="AU294" s="36908"/>
      <c r="AV294" s="36909"/>
      <c r="AW294" s="36910"/>
      <c r="AX294" s="36911"/>
      <c r="AY294" s="36912"/>
      <c r="AZ294" s="36913"/>
      <c r="BA294" s="36914"/>
      <c r="BB294" s="36915"/>
      <c r="BC294" s="36916"/>
      <c r="BD294" s="36917"/>
      <c r="BE294" s="36918"/>
      <c r="BF294" s="36919"/>
      <c r="BG294" s="36920"/>
      <c r="BH294" s="36921"/>
      <c r="BI294" s="36922"/>
      <c r="BJ294" s="36923"/>
      <c r="BK294" s="36924"/>
      <c r="BL294" s="36925"/>
      <c r="BM294" s="36926"/>
      <c r="BN294" s="36927"/>
      <c r="BO294" s="36928"/>
      <c r="BP294" s="36929"/>
      <c r="BQ294" s="36930"/>
      <c r="BR294" s="36931"/>
      <c r="BS294" s="36932"/>
      <c r="BT294" s="36933"/>
      <c r="BU294" s="36934"/>
      <c r="BV294" s="36935"/>
      <c r="BW294" s="36936"/>
      <c r="BX294" s="36937"/>
      <c r="BY294" s="36938"/>
      <c r="BZ294" s="36939"/>
      <c r="CA294" s="36940"/>
      <c r="CB294" s="36941"/>
      <c r="CC294" s="36942"/>
      <c r="CD294" s="36943"/>
      <c r="CE294" s="36944"/>
      <c r="CF294" s="36945"/>
      <c r="CG294" s="36946"/>
      <c r="CH294" s="36947"/>
      <c r="CI294" s="36948"/>
      <c r="CJ294" s="36949"/>
      <c r="CK294" s="36950"/>
      <c r="CL294" s="36951"/>
      <c r="CM294" s="36952"/>
      <c r="CN294" s="36953"/>
      <c r="CO294" s="36954"/>
      <c r="CP294" s="36955"/>
      <c r="CQ294" s="36956"/>
      <c r="CR294" s="36957"/>
      <c r="CS294" s="36958"/>
      <c r="CT294" s="36959"/>
      <c r="CU294" s="36960"/>
      <c r="CV294" s="33224" t="s">
        <v>623</v>
      </c>
      <c r="CW294" s="33123"/>
      <c r="CX294" s="33124"/>
      <c r="CY294" s="33124" t="str">
        <f>IF(T294="","",T294)</f>
        <v>Добавить значение признака дифференциации</v>
      </c>
      <c r="CZ294" s="33124"/>
      <c r="DA294" s="33124"/>
      <c r="DB294" s="33125">
        <v>0</v>
      </c>
    </row>
    <row s="58621" customFormat="1" customHeight="1" ht="21">
      <c r="A295" s="21621"/>
      <c r="B295" s="21621"/>
      <c r="C295" s="21621"/>
      <c r="D295" s="21621"/>
      <c r="E295" s="21622"/>
      <c r="F295" s="21622"/>
      <c r="G295" s="21622">
        <v>1</v>
      </c>
      <c r="H295" s="21622"/>
      <c r="I295" s="21638"/>
      <c r="J295" s="21621"/>
      <c r="K295" s="21621"/>
      <c r="L295" s="21624"/>
      <c r="M295" s="21639"/>
      <c r="N295" s="21639"/>
      <c r="O295" s="21639"/>
      <c r="P295" s="21640"/>
      <c r="Q295" s="21640"/>
      <c r="R295" s="21641"/>
      <c r="S295" s="26587"/>
      <c r="T295" s="26588" t="s">
        <v>551</v>
      </c>
      <c r="U295" s="26589"/>
      <c r="V295" s="26590"/>
      <c r="W295" s="26591"/>
      <c r="X295" s="26592"/>
      <c r="Y295" s="26593"/>
      <c r="Z295" s="26594"/>
      <c r="AA295" s="26595"/>
      <c r="AB295" s="26596"/>
      <c r="AC295" s="26597"/>
      <c r="AD295" s="26598"/>
      <c r="AE295" s="26599"/>
      <c r="AF295" s="26600"/>
      <c r="AG295" s="26601"/>
      <c r="AH295" s="26602"/>
      <c r="AI295" s="26603"/>
      <c r="AJ295" s="26604"/>
      <c r="AK295" s="26605"/>
      <c r="AL295" s="26606"/>
      <c r="AM295" s="26607"/>
      <c r="AN295" s="26608"/>
      <c r="AO295" s="26609"/>
      <c r="AP295" s="26610"/>
      <c r="AQ295" s="26611"/>
      <c r="AR295" s="26612"/>
      <c r="AS295" s="26613"/>
      <c r="AT295" s="26614"/>
      <c r="AU295" s="26615"/>
      <c r="AV295" s="26616"/>
      <c r="AW295" s="26617"/>
      <c r="AX295" s="26618"/>
      <c r="AY295" s="26619"/>
      <c r="AZ295" s="26620"/>
      <c r="BA295" s="26621"/>
      <c r="BB295" s="26622"/>
      <c r="BC295" s="26623"/>
      <c r="BD295" s="26624"/>
      <c r="BE295" s="26625"/>
      <c r="BF295" s="26626"/>
      <c r="BG295" s="26627"/>
      <c r="BH295" s="26628"/>
      <c r="BI295" s="26629"/>
      <c r="BJ295" s="26630"/>
      <c r="BK295" s="26631"/>
      <c r="BL295" s="26632"/>
      <c r="BM295" s="26633"/>
      <c r="BN295" s="26634"/>
      <c r="BO295" s="26635"/>
      <c r="BP295" s="26636"/>
      <c r="BQ295" s="26637"/>
      <c r="BR295" s="26638"/>
      <c r="BS295" s="26639"/>
      <c r="BT295" s="26640"/>
      <c r="BU295" s="26641"/>
      <c r="BV295" s="26642"/>
      <c r="BW295" s="26643"/>
      <c r="BX295" s="26644"/>
      <c r="BY295" s="26645"/>
      <c r="BZ295" s="26646"/>
      <c r="CA295" s="26647"/>
      <c r="CB295" s="26648"/>
      <c r="CC295" s="26649"/>
      <c r="CD295" s="26650"/>
      <c r="CE295" s="26651"/>
      <c r="CF295" s="26652"/>
      <c r="CG295" s="26653"/>
      <c r="CH295" s="26654"/>
      <c r="CI295" s="26655"/>
      <c r="CJ295" s="26656"/>
      <c r="CK295" s="26657"/>
      <c r="CL295" s="26658"/>
      <c r="CM295" s="26659"/>
      <c r="CN295" s="26660"/>
      <c r="CO295" s="26661"/>
      <c r="CP295" s="26662"/>
      <c r="CQ295" s="26663"/>
      <c r="CR295" s="26664"/>
      <c r="CS295" s="26665"/>
      <c r="CT295" s="26666"/>
      <c r="CU295" s="26667"/>
      <c r="CV295" s="26668"/>
      <c r="CW295" s="21281"/>
      <c r="CX295" s="21633"/>
      <c r="CY295" s="21633" t="str">
        <f>IF(T295="","",T295)</f>
        <v>Добавить группу потребителей</v>
      </c>
      <c r="CZ295" s="21633"/>
      <c r="DA295" s="21633"/>
      <c r="DB295" s="21020">
        <v>0</v>
      </c>
    </row>
    <row s="58704" customFormat="1" customHeight="1" ht="14.25">
      <c r="A296" s="21621"/>
      <c r="B296" s="21621"/>
      <c r="C296" s="21621"/>
      <c r="D296" s="21621"/>
      <c r="E296" s="21622"/>
      <c r="F296" s="21622"/>
      <c r="G296" s="21622">
        <v>1</v>
      </c>
      <c r="H296" s="21623"/>
      <c r="I296" s="21621"/>
      <c r="J296" s="21621"/>
      <c r="K296" s="21621"/>
      <c r="L296" s="21624"/>
      <c r="M296" s="21625"/>
      <c r="N296" s="21625"/>
      <c r="O296" s="21264"/>
      <c r="P296" s="21910"/>
      <c r="Q296" s="21911"/>
      <c r="R296" s="21912"/>
      <c r="S296" s="26670"/>
      <c r="T296" s="26671" t="s">
        <v>624</v>
      </c>
      <c r="U296" s="26672"/>
      <c r="V296" s="26673"/>
      <c r="W296" s="26674"/>
      <c r="X296" s="26675"/>
      <c r="Y296" s="26676"/>
      <c r="Z296" s="26677"/>
      <c r="AA296" s="26678"/>
      <c r="AB296" s="26679"/>
      <c r="AC296" s="26680"/>
      <c r="AD296" s="26681"/>
      <c r="AE296" s="26682"/>
      <c r="AF296" s="26683"/>
      <c r="AG296" s="26684"/>
      <c r="AH296" s="26685"/>
      <c r="AI296" s="26686"/>
      <c r="AJ296" s="26687"/>
      <c r="AK296" s="26688"/>
      <c r="AL296" s="26689"/>
      <c r="AM296" s="26690"/>
      <c r="AN296" s="26691"/>
      <c r="AO296" s="26692"/>
      <c r="AP296" s="26693"/>
      <c r="AQ296" s="26694"/>
      <c r="AR296" s="26695"/>
      <c r="AS296" s="26696"/>
      <c r="AT296" s="26697"/>
      <c r="AU296" s="26698"/>
      <c r="AV296" s="26699"/>
      <c r="AW296" s="26700"/>
      <c r="AX296" s="26701"/>
      <c r="AY296" s="26702"/>
      <c r="AZ296" s="26703"/>
      <c r="BA296" s="26704"/>
      <c r="BB296" s="26705"/>
      <c r="BC296" s="26706"/>
      <c r="BD296" s="26707"/>
      <c r="BE296" s="26708"/>
      <c r="BF296" s="26709"/>
      <c r="BG296" s="26710"/>
      <c r="BH296" s="26711"/>
      <c r="BI296" s="26712"/>
      <c r="BJ296" s="26713"/>
      <c r="BK296" s="26714"/>
      <c r="BL296" s="26715"/>
      <c r="BM296" s="26716"/>
      <c r="BN296" s="26717"/>
      <c r="BO296" s="26718"/>
      <c r="BP296" s="26719"/>
      <c r="BQ296" s="26720"/>
      <c r="BR296" s="26721"/>
      <c r="BS296" s="26722"/>
      <c r="BT296" s="26723"/>
      <c r="BU296" s="26724"/>
      <c r="BV296" s="26725"/>
      <c r="BW296" s="26726"/>
      <c r="BX296" s="26727"/>
      <c r="BY296" s="26728"/>
      <c r="BZ296" s="26729"/>
      <c r="CA296" s="26730"/>
      <c r="CB296" s="26731"/>
      <c r="CC296" s="26732"/>
      <c r="CD296" s="26733"/>
      <c r="CE296" s="26734"/>
      <c r="CF296" s="26735"/>
      <c r="CG296" s="26736"/>
      <c r="CH296" s="26737"/>
      <c r="CI296" s="26738"/>
      <c r="CJ296" s="26739"/>
      <c r="CK296" s="26740"/>
      <c r="CL296" s="26741"/>
      <c r="CM296" s="26742"/>
      <c r="CN296" s="26743"/>
      <c r="CO296" s="26744"/>
      <c r="CP296" s="26745"/>
      <c r="CQ296" s="26746"/>
      <c r="CR296" s="26747"/>
      <c r="CS296" s="26748"/>
      <c r="CT296" s="26749"/>
      <c r="CU296" s="26750"/>
      <c r="CV296" s="26751"/>
      <c r="CW296" s="21281"/>
      <c r="CX296" s="21633"/>
      <c r="CY296" s="21633" t="str">
        <f>IF(T296="","",T296)</f>
        <v>Добавить наименование признака дифференциации</v>
      </c>
      <c r="CZ296" s="21633"/>
      <c r="DA296" s="21633"/>
      <c r="DB296" s="21020">
        <v>0</v>
      </c>
    </row>
    <row s="58787" customFormat="1" customHeight="1" ht="14.25">
      <c r="A297" s="21996"/>
      <c r="B297" s="21996"/>
      <c r="C297" s="21996"/>
      <c r="D297" s="21996"/>
      <c r="E297" s="21622"/>
      <c r="F297" s="21623" t="s">
        <v>160</v>
      </c>
      <c r="G297" s="21996"/>
      <c r="H297" s="21996"/>
      <c r="I297" s="21996"/>
      <c r="J297" s="21996"/>
      <c r="K297" s="21996"/>
      <c r="L297" s="21997"/>
      <c r="M297" s="21998"/>
      <c r="N297" s="21998"/>
      <c r="O297" s="21281"/>
      <c r="P297" s="21999"/>
      <c r="Q297" s="22000"/>
      <c r="R297" s="21999"/>
      <c r="S297" s="22001"/>
      <c r="T297" s="22002" t="s">
        <v>290</v>
      </c>
      <c r="U297" s="21260"/>
      <c r="V297" s="21260"/>
      <c r="W297" s="21260"/>
      <c r="X297" s="21260"/>
      <c r="Y297" s="21260"/>
      <c r="Z297" s="21260"/>
      <c r="AA297" s="21260"/>
      <c r="AB297" s="21260"/>
      <c r="AC297" s="21260"/>
      <c r="AD297" s="21260"/>
      <c r="AE297" s="21260"/>
      <c r="AF297" s="21260"/>
      <c r="AG297" s="21260"/>
      <c r="AH297" s="21260"/>
      <c r="AI297" s="21260"/>
      <c r="AJ297" s="21260"/>
      <c r="AK297" s="21260"/>
      <c r="AL297" s="21260"/>
      <c r="AM297" s="21260"/>
      <c r="AN297" s="21260"/>
      <c r="AO297" s="21260"/>
      <c r="AP297" s="21260"/>
      <c r="AQ297" s="21260"/>
      <c r="AR297" s="21260"/>
      <c r="AS297" s="21260"/>
      <c r="AT297" s="21260"/>
      <c r="AU297" s="21260"/>
      <c r="AV297" s="21260"/>
      <c r="AW297" s="21260"/>
      <c r="AX297" s="21260"/>
      <c r="AY297" s="21260"/>
      <c r="AZ297" s="21260"/>
      <c r="BA297" s="21260"/>
      <c r="BB297" s="21260"/>
      <c r="BC297" s="21260"/>
      <c r="BD297" s="21260"/>
      <c r="BE297" s="21260"/>
      <c r="BF297" s="21260"/>
      <c r="BG297" s="21260"/>
      <c r="BH297" s="21260"/>
      <c r="BI297" s="21260"/>
      <c r="BJ297" s="21260"/>
      <c r="BK297" s="21260"/>
      <c r="BL297" s="21260"/>
      <c r="BM297" s="21260"/>
      <c r="BN297" s="21260"/>
      <c r="BO297" s="21260"/>
      <c r="BP297" s="21260"/>
      <c r="BQ297" s="21260"/>
      <c r="BR297" s="21260"/>
      <c r="BS297" s="21260"/>
      <c r="BT297" s="21260"/>
      <c r="BU297" s="21260"/>
      <c r="BV297" s="21260"/>
      <c r="BW297" s="21260"/>
      <c r="BX297" s="21260"/>
      <c r="BY297" s="21260"/>
      <c r="BZ297" s="21260"/>
      <c r="CA297" s="21260"/>
      <c r="CB297" s="21260"/>
      <c r="CC297" s="21260"/>
      <c r="CD297" s="21260"/>
      <c r="CE297" s="21260"/>
      <c r="CF297" s="21260"/>
      <c r="CG297" s="21260"/>
      <c r="CH297" s="21260"/>
      <c r="CI297" s="21260"/>
      <c r="CJ297" s="21260"/>
      <c r="CK297" s="21260"/>
      <c r="CL297" s="21260"/>
      <c r="CM297" s="21260"/>
      <c r="CN297" s="21260"/>
      <c r="CO297" s="21260"/>
      <c r="CP297" s="21260"/>
      <c r="CQ297" s="21260"/>
      <c r="CR297" s="21260"/>
      <c r="CS297" s="21260"/>
      <c r="CT297" s="21260"/>
      <c r="CU297" s="21260"/>
      <c r="CV297" s="21260"/>
      <c r="CW297" s="21281"/>
      <c r="CX297" s="21633"/>
      <c r="CY297" s="21633" t="str">
        <f>IF(T297="","",T297)</f>
        <v>Добавить централизованную систему для дифференциации</v>
      </c>
      <c r="CZ297" s="21633"/>
      <c r="DA297" s="21633"/>
      <c r="DB297" s="21281">
        <v>0</v>
      </c>
    </row>
    <row s="58788" customFormat="1" customHeight="1" ht="23.25">
      <c r="A298" s="21621"/>
      <c r="B298" s="21621" t="s">
        <v>359</v>
      </c>
      <c r="C298" s="21621"/>
      <c r="D298" s="21621"/>
      <c r="E298" s="21622"/>
      <c r="F298" s="21623" t="s">
        <v>168</v>
      </c>
      <c r="G298" s="21621"/>
      <c r="H298" s="21621"/>
      <c r="I298" s="21621"/>
      <c r="J298" s="21621"/>
      <c r="K298" s="21621"/>
      <c r="L298" s="21624"/>
      <c r="M298" s="21625"/>
      <c r="N298" s="21625"/>
      <c r="O298" s="21625"/>
      <c r="P298" s="21626"/>
      <c r="Q298" s="21627"/>
      <c r="R298" s="21628"/>
      <c r="S298" s="21629" t="str">
        <f>INDEX(PT_DIFFERENTIATION_NUM_TER,MATCH(B298,PT_DIFFERENTIATION_TER_ID,0))</f>
        <v>1.15</v>
      </c>
      <c r="T298" s="21630" t="s">
        <v>536</v>
      </c>
      <c r="U298" s="21631"/>
      <c r="V298" s="21025"/>
      <c r="W298" s="21026"/>
      <c r="X298" s="21026"/>
      <c r="Y298" s="21026"/>
      <c r="Z298" s="21026"/>
      <c r="AA298" s="21026"/>
      <c r="AB298" s="21027"/>
      <c r="AC298" s="21025" t="str">
        <f>INDEX(PT_DIFFERENTIATION_TER,MATCH(B298,PT_DIFFERENTIATION_TER_ID,0))</f>
        <v>Территория 15</v>
      </c>
      <c r="AD298" s="21026"/>
      <c r="AE298" s="21026"/>
      <c r="AF298" s="21026"/>
      <c r="AG298" s="21026"/>
      <c r="AH298" s="21026"/>
      <c r="AI298" s="21026"/>
      <c r="AJ298" s="21025"/>
      <c r="AK298" s="21026"/>
      <c r="AL298" s="21026"/>
      <c r="AM298" s="21026"/>
      <c r="AN298" s="21026"/>
      <c r="AO298" s="21026"/>
      <c r="AP298" s="21027"/>
      <c r="AQ298" s="21025"/>
      <c r="AR298" s="21026"/>
      <c r="AS298" s="21026"/>
      <c r="AT298" s="21026"/>
      <c r="AU298" s="21026"/>
      <c r="AV298" s="21026"/>
      <c r="AW298" s="21027"/>
      <c r="AX298" s="21025"/>
      <c r="AY298" s="21026"/>
      <c r="AZ298" s="21026"/>
      <c r="BA298" s="21026"/>
      <c r="BB298" s="21026"/>
      <c r="BC298" s="21026"/>
      <c r="BD298" s="21027"/>
      <c r="BE298" s="21025"/>
      <c r="BF298" s="21026"/>
      <c r="BG298" s="21026"/>
      <c r="BH298" s="21026"/>
      <c r="BI298" s="21026"/>
      <c r="BJ298" s="21026"/>
      <c r="BK298" s="21027"/>
      <c r="BL298" s="21025"/>
      <c r="BM298" s="21026"/>
      <c r="BN298" s="21026"/>
      <c r="BO298" s="21026"/>
      <c r="BP298" s="21026"/>
      <c r="BQ298" s="21026"/>
      <c r="BR298" s="21027"/>
      <c r="BS298" s="21025"/>
      <c r="BT298" s="21026"/>
      <c r="BU298" s="21026"/>
      <c r="BV298" s="21026"/>
      <c r="BW298" s="21026"/>
      <c r="BX298" s="21026"/>
      <c r="BY298" s="21027"/>
      <c r="BZ298" s="21025"/>
      <c r="CA298" s="21026"/>
      <c r="CB298" s="21026"/>
      <c r="CC298" s="21026"/>
      <c r="CD298" s="21026"/>
      <c r="CE298" s="21026"/>
      <c r="CF298" s="21027"/>
      <c r="CG298" s="21025"/>
      <c r="CH298" s="21026"/>
      <c r="CI298" s="21026"/>
      <c r="CJ298" s="21026"/>
      <c r="CK298" s="21026"/>
      <c r="CL298" s="21026"/>
      <c r="CM298" s="21027"/>
      <c r="CN298" s="21025"/>
      <c r="CO298" s="21026"/>
      <c r="CP298" s="21026"/>
      <c r="CQ298" s="21026"/>
      <c r="CR298" s="21026"/>
      <c r="CS298" s="21026"/>
      <c r="CT298" s="21027"/>
      <c r="CU298" s="21027"/>
      <c r="CV298" s="21632" t="s">
        <v>537</v>
      </c>
      <c r="CW298" s="21281"/>
      <c r="CX298" s="21633"/>
      <c r="CY298" s="21633" t="str">
        <f>IF(T298="","",T298)</f>
        <v>Территория действия тарифа</v>
      </c>
      <c r="CZ298" s="21633"/>
      <c r="DA298" s="21633"/>
      <c r="DB298" s="21020">
        <v>0</v>
      </c>
    </row>
    <row s="58789" customFormat="1" customHeight="1" ht="23.25">
      <c r="A299" s="21621"/>
      <c r="B299" s="21621"/>
      <c r="C299" s="21621" t="s">
        <v>360</v>
      </c>
      <c r="D299" s="21621"/>
      <c r="E299" s="21622"/>
      <c r="F299" s="21622" t="s">
        <v>164</v>
      </c>
      <c r="G299" s="21623">
        <v>1</v>
      </c>
      <c r="H299" s="21621"/>
      <c r="I299" s="21621"/>
      <c r="J299" s="21621"/>
      <c r="K299" s="21621"/>
      <c r="L299" s="21624"/>
      <c r="M299" s="21625"/>
      <c r="N299" s="21625"/>
      <c r="O299" s="21625"/>
      <c r="P299" s="21635"/>
      <c r="Q299" s="21627"/>
      <c r="R299" s="21628"/>
      <c r="S299" s="21629" t="str">
        <f>INDEX(PT_DIFFERENTIATION_NUM_CS,MATCH(C299,PT_DIFFERENTIATION_CS_ID,0))</f>
        <v>1.15.1</v>
      </c>
      <c r="T299" s="21636" t="s">
        <v>617</v>
      </c>
      <c r="U299" s="21631"/>
      <c r="V299" s="21025"/>
      <c r="W299" s="21026"/>
      <c r="X299" s="21026"/>
      <c r="Y299" s="21026"/>
      <c r="Z299" s="21026"/>
      <c r="AA299" s="21026"/>
      <c r="AB299" s="21027"/>
      <c r="AC299" s="21025" t="str">
        <f>INDEX(PT_DIFFERENTIATION_CS,MATCH(C299,PT_DIFFERENTIATION_CS_ID,0))</f>
        <v>ЗАТО город Фокино</v>
      </c>
      <c r="AD299" s="21026"/>
      <c r="AE299" s="21026"/>
      <c r="AF299" s="21026"/>
      <c r="AG299" s="21026"/>
      <c r="AH299" s="21026"/>
      <c r="AI299" s="21026"/>
      <c r="AJ299" s="21025"/>
      <c r="AK299" s="21026"/>
      <c r="AL299" s="21026"/>
      <c r="AM299" s="21026"/>
      <c r="AN299" s="21026"/>
      <c r="AO299" s="21026"/>
      <c r="AP299" s="21027"/>
      <c r="AQ299" s="21025"/>
      <c r="AR299" s="21026"/>
      <c r="AS299" s="21026"/>
      <c r="AT299" s="21026"/>
      <c r="AU299" s="21026"/>
      <c r="AV299" s="21026"/>
      <c r="AW299" s="21027"/>
      <c r="AX299" s="21025"/>
      <c r="AY299" s="21026"/>
      <c r="AZ299" s="21026"/>
      <c r="BA299" s="21026"/>
      <c r="BB299" s="21026"/>
      <c r="BC299" s="21026"/>
      <c r="BD299" s="21027"/>
      <c r="BE299" s="21025"/>
      <c r="BF299" s="21026"/>
      <c r="BG299" s="21026"/>
      <c r="BH299" s="21026"/>
      <c r="BI299" s="21026"/>
      <c r="BJ299" s="21026"/>
      <c r="BK299" s="21027"/>
      <c r="BL299" s="21025"/>
      <c r="BM299" s="21026"/>
      <c r="BN299" s="21026"/>
      <c r="BO299" s="21026"/>
      <c r="BP299" s="21026"/>
      <c r="BQ299" s="21026"/>
      <c r="BR299" s="21027"/>
      <c r="BS299" s="21025"/>
      <c r="BT299" s="21026"/>
      <c r="BU299" s="21026"/>
      <c r="BV299" s="21026"/>
      <c r="BW299" s="21026"/>
      <c r="BX299" s="21026"/>
      <c r="BY299" s="21027"/>
      <c r="BZ299" s="21025"/>
      <c r="CA299" s="21026"/>
      <c r="CB299" s="21026"/>
      <c r="CC299" s="21026"/>
      <c r="CD299" s="21026"/>
      <c r="CE299" s="21026"/>
      <c r="CF299" s="21027"/>
      <c r="CG299" s="21025"/>
      <c r="CH299" s="21026"/>
      <c r="CI299" s="21026"/>
      <c r="CJ299" s="21026"/>
      <c r="CK299" s="21026"/>
      <c r="CL299" s="21026"/>
      <c r="CM299" s="21027"/>
      <c r="CN299" s="21025"/>
      <c r="CO299" s="21026"/>
      <c r="CP299" s="21026"/>
      <c r="CQ299" s="21026"/>
      <c r="CR299" s="21026"/>
      <c r="CS299" s="21026"/>
      <c r="CT299" s="21027"/>
      <c r="CU299" s="21027"/>
      <c r="CV299" s="21632" t="s">
        <v>618</v>
      </c>
      <c r="CW299" s="21281"/>
      <c r="CX299" s="21633"/>
      <c r="CY299" s="21633" t="str">
        <f>IF(T299="","",T299)</f>
        <v>Наименование централизованной системы холодного водоснабжения</v>
      </c>
      <c r="CZ299" s="21633"/>
      <c r="DA299" s="21633"/>
      <c r="DB299" s="21020">
        <v>0</v>
      </c>
    </row>
    <row s="58790" customFormat="1" customHeight="1" ht="23.25">
      <c r="A300" s="21621"/>
      <c r="B300" s="21621"/>
      <c r="C300" s="21621"/>
      <c r="D300" s="21621"/>
      <c r="E300" s="21622"/>
      <c r="F300" s="21622" t="s">
        <v>164</v>
      </c>
      <c r="G300" s="21622"/>
      <c r="H300" s="21622"/>
      <c r="I300" s="21638" t="str">
        <f>S299&amp;".1"</f>
        <v>1.15.1.1</v>
      </c>
      <c r="J300" s="21621"/>
      <c r="K300" s="21621"/>
      <c r="L300" s="21624"/>
      <c r="M300" s="21639"/>
      <c r="N300" s="21639"/>
      <c r="O300" s="21639"/>
      <c r="P300" s="21640">
        <v>1</v>
      </c>
      <c r="Q300" s="21640"/>
      <c r="R300" s="21641"/>
      <c r="S300" s="21629" t="str">
        <f>$I300</f>
        <v>1.15.1.1</v>
      </c>
      <c r="T300" s="21642" t="s">
        <v>619</v>
      </c>
      <c r="U300" s="21631"/>
      <c r="V300" s="21038"/>
      <c r="W300" s="21039"/>
      <c r="X300" s="21039"/>
      <c r="Y300" s="21039"/>
      <c r="Z300" s="21039"/>
      <c r="AA300" s="21039"/>
      <c r="AB300" s="21040"/>
      <c r="AC300" s="21643"/>
      <c r="AD300" s="21644"/>
      <c r="AE300" s="21644"/>
      <c r="AF300" s="21644"/>
      <c r="AG300" s="21644"/>
      <c r="AH300" s="21644"/>
      <c r="AI300" s="21644"/>
      <c r="AJ300" s="21038"/>
      <c r="AK300" s="21039"/>
      <c r="AL300" s="21039"/>
      <c r="AM300" s="21039"/>
      <c r="AN300" s="21039"/>
      <c r="AO300" s="21039"/>
      <c r="AP300" s="21040"/>
      <c r="AQ300" s="21038"/>
      <c r="AR300" s="21039"/>
      <c r="AS300" s="21039"/>
      <c r="AT300" s="21039"/>
      <c r="AU300" s="21039"/>
      <c r="AV300" s="21039"/>
      <c r="AW300" s="21040"/>
      <c r="AX300" s="21038"/>
      <c r="AY300" s="21039"/>
      <c r="AZ300" s="21039"/>
      <c r="BA300" s="21039"/>
      <c r="BB300" s="21039"/>
      <c r="BC300" s="21039"/>
      <c r="BD300" s="21040"/>
      <c r="BE300" s="21038"/>
      <c r="BF300" s="21039"/>
      <c r="BG300" s="21039"/>
      <c r="BH300" s="21039"/>
      <c r="BI300" s="21039"/>
      <c r="BJ300" s="21039"/>
      <c r="BK300" s="21040"/>
      <c r="BL300" s="21038"/>
      <c r="BM300" s="21039"/>
      <c r="BN300" s="21039"/>
      <c r="BO300" s="21039"/>
      <c r="BP300" s="21039"/>
      <c r="BQ300" s="21039"/>
      <c r="BR300" s="21040"/>
      <c r="BS300" s="21038"/>
      <c r="BT300" s="21039"/>
      <c r="BU300" s="21039"/>
      <c r="BV300" s="21039"/>
      <c r="BW300" s="21039"/>
      <c r="BX300" s="21039"/>
      <c r="BY300" s="21040"/>
      <c r="BZ300" s="21038"/>
      <c r="CA300" s="21039"/>
      <c r="CB300" s="21039"/>
      <c r="CC300" s="21039"/>
      <c r="CD300" s="21039"/>
      <c r="CE300" s="21039"/>
      <c r="CF300" s="21040"/>
      <c r="CG300" s="21038"/>
      <c r="CH300" s="21039"/>
      <c r="CI300" s="21039"/>
      <c r="CJ300" s="21039"/>
      <c r="CK300" s="21039"/>
      <c r="CL300" s="21039"/>
      <c r="CM300" s="21040"/>
      <c r="CN300" s="21038"/>
      <c r="CO300" s="21039"/>
      <c r="CP300" s="21039"/>
      <c r="CQ300" s="21039"/>
      <c r="CR300" s="21039"/>
      <c r="CS300" s="21039"/>
      <c r="CT300" s="21040"/>
      <c r="CU300" s="21645"/>
      <c r="CV300" s="21632" t="s">
        <v>620</v>
      </c>
      <c r="CW300" s="21281"/>
      <c r="CX300" s="21633"/>
      <c r="CY300" s="21633" t="str">
        <f>IF(T300="","",T300)</f>
        <v>Наименование признака дифференциации</v>
      </c>
      <c r="CZ300" s="21633"/>
      <c r="DA300" s="21633"/>
      <c r="DB300" s="21020">
        <v>0</v>
      </c>
    </row>
    <row s="58791" customFormat="1" customHeight="1" ht="23.25">
      <c r="A301" s="21621"/>
      <c r="B301" s="21621"/>
      <c r="C301" s="21621"/>
      <c r="D301" s="21621"/>
      <c r="E301" s="21622"/>
      <c r="F301" s="21622" t="s">
        <v>164</v>
      </c>
      <c r="G301" s="21622"/>
      <c r="H301" s="21622"/>
      <c r="I301" s="21647"/>
      <c r="J301" s="21638" t="str">
        <f>I300&amp;".1"</f>
        <v>1.15.1.1.1</v>
      </c>
      <c r="K301" s="21621"/>
      <c r="L301" s="21624" t="s">
        <v>545</v>
      </c>
      <c r="M301" s="21639"/>
      <c r="N301" s="21639"/>
      <c r="O301" s="21639"/>
      <c r="P301" s="21640"/>
      <c r="Q301" s="21640">
        <v>1</v>
      </c>
      <c r="R301" s="21648"/>
      <c r="S301" s="21629" t="str">
        <f>$J301</f>
        <v>1.15.1.1.1</v>
      </c>
      <c r="T301" s="21649" t="s">
        <v>546</v>
      </c>
      <c r="U301" s="21631"/>
      <c r="V301" s="21045"/>
      <c r="W301" s="21046"/>
      <c r="X301" s="21046"/>
      <c r="Y301" s="21046"/>
      <c r="Z301" s="21046"/>
      <c r="AA301" s="21046"/>
      <c r="AB301" s="21047"/>
      <c r="AC301" s="21045" t="s">
        <v>632</v>
      </c>
      <c r="AD301" s="21046"/>
      <c r="AE301" s="21046"/>
      <c r="AF301" s="21046"/>
      <c r="AG301" s="21046"/>
      <c r="AH301" s="21046"/>
      <c r="AI301" s="21046"/>
      <c r="AJ301" s="21045"/>
      <c r="AK301" s="21046"/>
      <c r="AL301" s="21046"/>
      <c r="AM301" s="21046"/>
      <c r="AN301" s="21046"/>
      <c r="AO301" s="21046"/>
      <c r="AP301" s="21047"/>
      <c r="AQ301" s="21045"/>
      <c r="AR301" s="21046"/>
      <c r="AS301" s="21046"/>
      <c r="AT301" s="21046"/>
      <c r="AU301" s="21046"/>
      <c r="AV301" s="21046"/>
      <c r="AW301" s="21047"/>
      <c r="AX301" s="21045"/>
      <c r="AY301" s="21046"/>
      <c r="AZ301" s="21046"/>
      <c r="BA301" s="21046"/>
      <c r="BB301" s="21046"/>
      <c r="BC301" s="21046"/>
      <c r="BD301" s="21047"/>
      <c r="BE301" s="21045"/>
      <c r="BF301" s="21046"/>
      <c r="BG301" s="21046"/>
      <c r="BH301" s="21046"/>
      <c r="BI301" s="21046"/>
      <c r="BJ301" s="21046"/>
      <c r="BK301" s="21047"/>
      <c r="BL301" s="21045"/>
      <c r="BM301" s="21046"/>
      <c r="BN301" s="21046"/>
      <c r="BO301" s="21046"/>
      <c r="BP301" s="21046"/>
      <c r="BQ301" s="21046"/>
      <c r="BR301" s="21047"/>
      <c r="BS301" s="21045"/>
      <c r="BT301" s="21046"/>
      <c r="BU301" s="21046"/>
      <c r="BV301" s="21046"/>
      <c r="BW301" s="21046"/>
      <c r="BX301" s="21046"/>
      <c r="BY301" s="21047"/>
      <c r="BZ301" s="21045"/>
      <c r="CA301" s="21046"/>
      <c r="CB301" s="21046"/>
      <c r="CC301" s="21046"/>
      <c r="CD301" s="21046"/>
      <c r="CE301" s="21046"/>
      <c r="CF301" s="21047"/>
      <c r="CG301" s="21045"/>
      <c r="CH301" s="21046"/>
      <c r="CI301" s="21046"/>
      <c r="CJ301" s="21046"/>
      <c r="CK301" s="21046"/>
      <c r="CL301" s="21046"/>
      <c r="CM301" s="21047"/>
      <c r="CN301" s="21045"/>
      <c r="CO301" s="21046"/>
      <c r="CP301" s="21046"/>
      <c r="CQ301" s="21046"/>
      <c r="CR301" s="21046"/>
      <c r="CS301" s="21046"/>
      <c r="CT301" s="21047"/>
      <c r="CU301" s="21047"/>
      <c r="CV301" s="21650" t="s">
        <v>621</v>
      </c>
      <c r="CW301" s="21281"/>
      <c r="CX301" s="21633"/>
      <c r="CY301" s="21633" t="str">
        <f>IF(T301="","",T301)</f>
        <v>Группа потребителей</v>
      </c>
      <c r="CZ301" s="21633"/>
      <c r="DA301" s="21633"/>
      <c r="DB301" s="21020">
        <v>0</v>
      </c>
    </row>
    <row s="58792" customFormat="1" customHeight="1" ht="23.25">
      <c r="A302" s="21621"/>
      <c r="B302" s="21621"/>
      <c r="C302" s="21621"/>
      <c r="D302" s="21621"/>
      <c r="E302" s="21622"/>
      <c r="F302" s="21622" t="s">
        <v>164</v>
      </c>
      <c r="G302" s="21622"/>
      <c r="H302" s="21622"/>
      <c r="I302" s="21647"/>
      <c r="J302" s="21647"/>
      <c r="K302" s="21638" t="str">
        <f>J301&amp;".1"</f>
        <v>1.15.1.1.1.1</v>
      </c>
      <c r="L302" s="21624"/>
      <c r="M302" s="21639"/>
      <c r="N302" s="21639"/>
      <c r="O302" s="21639"/>
      <c r="P302" s="21640"/>
      <c r="Q302" s="21640"/>
      <c r="R302" s="21648">
        <v>1</v>
      </c>
      <c r="S302" s="21629" t="str">
        <f>$K302</f>
        <v>1.15.1.1.1.1</v>
      </c>
      <c r="T302" s="21652"/>
      <c r="U302" s="21631"/>
      <c r="V302" s="21053"/>
      <c r="W302" s="21053"/>
      <c r="X302" s="21054"/>
      <c r="Y302" s="21055"/>
      <c r="Z302" s="21056" t="s">
        <v>63</v>
      </c>
      <c r="AA302" s="21055"/>
      <c r="AB302" s="21056" t="s">
        <v>63</v>
      </c>
      <c r="AC302" s="21053">
        <v>32.65</v>
      </c>
      <c r="AD302" s="21053"/>
      <c r="AE302" s="21054"/>
      <c r="AF302" s="57093">
        <v>45292.6550462963</v>
      </c>
      <c r="AG302" s="21056" t="s">
        <v>63</v>
      </c>
      <c r="AH302" s="57094">
        <v>45473.65528935185</v>
      </c>
      <c r="AI302" s="21056" t="s">
        <v>63</v>
      </c>
      <c r="AJ302" s="21053">
        <v>42.44</v>
      </c>
      <c r="AK302" s="21053"/>
      <c r="AL302" s="21054"/>
      <c r="AM302" s="57093">
        <v>45474.65552083333</v>
      </c>
      <c r="AN302" s="21056" t="s">
        <v>63</v>
      </c>
      <c r="AO302" s="57093">
        <v>45657.65574074074</v>
      </c>
      <c r="AP302" s="21056" t="s">
        <v>63</v>
      </c>
      <c r="AQ302" s="21053">
        <v>42.44</v>
      </c>
      <c r="AR302" s="21053"/>
      <c r="AS302" s="21054"/>
      <c r="AT302" s="57093">
        <v>45658.655960648146</v>
      </c>
      <c r="AU302" s="21056" t="s">
        <v>63</v>
      </c>
      <c r="AV302" s="57093">
        <v>45838.65626157408</v>
      </c>
      <c r="AW302" s="21056" t="s">
        <v>63</v>
      </c>
      <c r="AX302" s="21053">
        <v>52.21</v>
      </c>
      <c r="AY302" s="21053"/>
      <c r="AZ302" s="21054"/>
      <c r="BA302" s="57093">
        <v>45839.65646990741</v>
      </c>
      <c r="BB302" s="21056" t="s">
        <v>63</v>
      </c>
      <c r="BC302" s="57093">
        <v>46022.657060185185</v>
      </c>
      <c r="BD302" s="21056" t="s">
        <v>63</v>
      </c>
      <c r="BE302" s="21053">
        <v>52.21</v>
      </c>
      <c r="BF302" s="21053"/>
      <c r="BG302" s="21054"/>
      <c r="BH302" s="57093">
        <v>46023.65751157407</v>
      </c>
      <c r="BI302" s="21056" t="s">
        <v>63</v>
      </c>
      <c r="BJ302" s="57093">
        <v>46203.65773148148</v>
      </c>
      <c r="BK302" s="21056" t="s">
        <v>63</v>
      </c>
      <c r="BL302" s="21053">
        <v>54.3</v>
      </c>
      <c r="BM302" s="21053"/>
      <c r="BN302" s="21054"/>
      <c r="BO302" s="57093">
        <v>46204.65806712963</v>
      </c>
      <c r="BP302" s="21056" t="s">
        <v>63</v>
      </c>
      <c r="BQ302" s="57093">
        <v>46387.65855324074</v>
      </c>
      <c r="BR302" s="21056" t="s">
        <v>63</v>
      </c>
      <c r="BS302" s="21053">
        <v>54.3</v>
      </c>
      <c r="BT302" s="21053"/>
      <c r="BU302" s="21054"/>
      <c r="BV302" s="57093">
        <v>46388.658784722225</v>
      </c>
      <c r="BW302" s="21056" t="s">
        <v>63</v>
      </c>
      <c r="BX302" s="57093">
        <v>46568.6590162037</v>
      </c>
      <c r="BY302" s="21056" t="s">
        <v>63</v>
      </c>
      <c r="BZ302" s="21053">
        <v>56.47</v>
      </c>
      <c r="CA302" s="21053"/>
      <c r="CB302" s="21054"/>
      <c r="CC302" s="57093">
        <v>46569.65938657407</v>
      </c>
      <c r="CD302" s="21056" t="s">
        <v>63</v>
      </c>
      <c r="CE302" s="57093">
        <v>46752.65965277778</v>
      </c>
      <c r="CF302" s="21056" t="s">
        <v>63</v>
      </c>
      <c r="CG302" s="21053">
        <v>56.47</v>
      </c>
      <c r="CH302" s="21053"/>
      <c r="CI302" s="21054"/>
      <c r="CJ302" s="57093">
        <v>46753.65997685185</v>
      </c>
      <c r="CK302" s="21056" t="s">
        <v>63</v>
      </c>
      <c r="CL302" s="57093">
        <v>46934.66024305556</v>
      </c>
      <c r="CM302" s="21056" t="s">
        <v>63</v>
      </c>
      <c r="CN302" s="21053">
        <v>57.08</v>
      </c>
      <c r="CO302" s="21053"/>
      <c r="CP302" s="21054"/>
      <c r="CQ302" s="57093">
        <v>46935.66085648148</v>
      </c>
      <c r="CR302" s="21056" t="s">
        <v>63</v>
      </c>
      <c r="CS302" s="57093">
        <v>47118.66150462963</v>
      </c>
      <c r="CT302" s="21056" t="s">
        <v>63</v>
      </c>
      <c r="CU302" s="21653"/>
      <c r="CV302"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02" s="21281">
        <f>STRCHECKDATE(V303:CU303)</f>
      </c>
      <c r="CX302" s="21633"/>
      <c r="CY302" s="21633" t="str">
        <f>IF(T302="","",T302)</f>
        <v/>
      </c>
      <c r="CZ302" s="21633"/>
      <c r="DA302" s="21633"/>
      <c r="DB302" s="21020">
        <v>0</v>
      </c>
    </row>
    <row s="58793" customFormat="1" customHeight="1" ht="14.25">
      <c r="A303" s="21621"/>
      <c r="B303" s="21621"/>
      <c r="C303" s="21621"/>
      <c r="D303" s="21621"/>
      <c r="E303" s="21622"/>
      <c r="F303" s="21622" t="s">
        <v>164</v>
      </c>
      <c r="G303" s="21622"/>
      <c r="H303" s="21622"/>
      <c r="I303" s="21647"/>
      <c r="J303" s="21647"/>
      <c r="K303" s="21638"/>
      <c r="L303" s="21624"/>
      <c r="M303" s="21639"/>
      <c r="N303" s="21639"/>
      <c r="O303" s="21639"/>
      <c r="P303" s="21640"/>
      <c r="Q303" s="21640"/>
      <c r="R303" s="21648"/>
      <c r="S303" s="21656"/>
      <c r="T303" s="21631"/>
      <c r="U303" s="21631"/>
      <c r="V303" s="21063"/>
      <c r="W303" s="21063"/>
      <c r="X303" s="21064" t="str">
        <f>Y302&amp;"-"&amp;AA302</f>
        <v>-</v>
      </c>
      <c r="Y303" s="21065"/>
      <c r="Z303" s="21056"/>
      <c r="AA303" s="21065"/>
      <c r="AB303" s="21056"/>
      <c r="AC303" s="21063"/>
      <c r="AD303" s="21063"/>
      <c r="AE303" s="21064" t="str">
        <f>AF302&amp;"-"&amp;AH302</f>
        <v>45292.6550462963-45473.65528935185</v>
      </c>
      <c r="AF303" s="21065"/>
      <c r="AG303" s="21056"/>
      <c r="AH303" s="21324"/>
      <c r="AI303" s="21056"/>
      <c r="AJ303" s="21063"/>
      <c r="AK303" s="21063"/>
      <c r="AL303" s="21064" t="str">
        <f>AM302&amp;"-"&amp;AO302</f>
        <v>45474.65552083333-45657.65574074074</v>
      </c>
      <c r="AM303" s="21065"/>
      <c r="AN303" s="21056"/>
      <c r="AO303" s="21065"/>
      <c r="AP303" s="21056"/>
      <c r="AQ303" s="21063"/>
      <c r="AR303" s="21063"/>
      <c r="AS303" s="21064" t="str">
        <f>AT302&amp;"-"&amp;AV302</f>
        <v>45658.655960648146-45838.65626157408</v>
      </c>
      <c r="AT303" s="21065"/>
      <c r="AU303" s="21056"/>
      <c r="AV303" s="21065"/>
      <c r="AW303" s="21056"/>
      <c r="AX303" s="21063"/>
      <c r="AY303" s="21063"/>
      <c r="AZ303" s="21064" t="str">
        <f>BA302&amp;"-"&amp;BC302</f>
        <v>45839.65646990741-46022.657060185185</v>
      </c>
      <c r="BA303" s="21065"/>
      <c r="BB303" s="21056"/>
      <c r="BC303" s="21065"/>
      <c r="BD303" s="21056"/>
      <c r="BE303" s="21063"/>
      <c r="BF303" s="21063"/>
      <c r="BG303" s="21064" t="str">
        <f>BH302&amp;"-"&amp;BJ302</f>
        <v>46023.65751157407-46203.65773148148</v>
      </c>
      <c r="BH303" s="21065"/>
      <c r="BI303" s="21056"/>
      <c r="BJ303" s="21065"/>
      <c r="BK303" s="21056"/>
      <c r="BL303" s="21063"/>
      <c r="BM303" s="21063"/>
      <c r="BN303" s="21064" t="str">
        <f>BO302&amp;"-"&amp;BQ302</f>
        <v>46204.65806712963-46387.65855324074</v>
      </c>
      <c r="BO303" s="21065"/>
      <c r="BP303" s="21056"/>
      <c r="BQ303" s="21065"/>
      <c r="BR303" s="21056"/>
      <c r="BS303" s="21063"/>
      <c r="BT303" s="21063"/>
      <c r="BU303" s="21064" t="str">
        <f>BV302&amp;"-"&amp;BX302</f>
        <v>46388.658784722225-46568.6590162037</v>
      </c>
      <c r="BV303" s="21065"/>
      <c r="BW303" s="21056"/>
      <c r="BX303" s="21065"/>
      <c r="BY303" s="21056"/>
      <c r="BZ303" s="21063"/>
      <c r="CA303" s="21063"/>
      <c r="CB303" s="21064" t="str">
        <f>CC302&amp;"-"&amp;CE302</f>
        <v>46569.65938657407-46752.65965277778</v>
      </c>
      <c r="CC303" s="21065"/>
      <c r="CD303" s="21056"/>
      <c r="CE303" s="21065"/>
      <c r="CF303" s="21056"/>
      <c r="CG303" s="21063"/>
      <c r="CH303" s="21063"/>
      <c r="CI303" s="21064" t="str">
        <f>CJ302&amp;"-"&amp;CL302</f>
        <v>46753.65997685185-46934.66024305556</v>
      </c>
      <c r="CJ303" s="21065"/>
      <c r="CK303" s="21056"/>
      <c r="CL303" s="21065"/>
      <c r="CM303" s="21056"/>
      <c r="CN303" s="21063"/>
      <c r="CO303" s="21063"/>
      <c r="CP303" s="21064" t="str">
        <f>CQ302&amp;"-"&amp;CS302</f>
        <v>46935.66085648148-47118.66150462963</v>
      </c>
      <c r="CQ303" s="21065"/>
      <c r="CR303" s="21056"/>
      <c r="CS303" s="21065"/>
      <c r="CT303" s="21056"/>
      <c r="CU303" s="21657"/>
      <c r="CV303" s="21654"/>
      <c r="CW303" s="21281"/>
      <c r="CX303" s="21633"/>
      <c r="CY303" s="21633" t="str">
        <f>IF(T303="","",T303)</f>
        <v/>
      </c>
      <c r="CZ303" s="21633"/>
      <c r="DA303" s="21633"/>
      <c r="DB303" s="21020">
        <v>0</v>
      </c>
    </row>
    <row s="58794" customFormat="1" customHeight="1" ht="21">
      <c r="A304" s="21621"/>
      <c r="B304" s="21621"/>
      <c r="C304" s="21621"/>
      <c r="D304" s="21621"/>
      <c r="E304" s="21622"/>
      <c r="F304" s="21622" t="s">
        <v>164</v>
      </c>
      <c r="G304" s="21622"/>
      <c r="H304" s="21622"/>
      <c r="I304" s="21647"/>
      <c r="J304" s="21638"/>
      <c r="K304" s="21621"/>
      <c r="L304" s="21624"/>
      <c r="M304" s="21639"/>
      <c r="N304" s="21639"/>
      <c r="O304" s="21639"/>
      <c r="P304" s="21640"/>
      <c r="Q304" s="21640"/>
      <c r="R304" s="21641"/>
      <c r="S304" s="27013"/>
      <c r="T304" s="27014" t="s">
        <v>622</v>
      </c>
      <c r="U304" s="27015"/>
      <c r="V304" s="27016"/>
      <c r="W304" s="27017"/>
      <c r="X304" s="27018"/>
      <c r="Y304" s="27019"/>
      <c r="Z304" s="27020"/>
      <c r="AA304" s="27021"/>
      <c r="AB304" s="27022"/>
      <c r="AC304" s="27023"/>
      <c r="AD304" s="27024"/>
      <c r="AE304" s="27025"/>
      <c r="AF304" s="27026"/>
      <c r="AG304" s="27027"/>
      <c r="AH304" s="27028"/>
      <c r="AI304" s="27029"/>
      <c r="AJ304" s="27030"/>
      <c r="AK304" s="27031"/>
      <c r="AL304" s="27032"/>
      <c r="AM304" s="27033"/>
      <c r="AN304" s="27034"/>
      <c r="AO304" s="27035"/>
      <c r="AP304" s="27036"/>
      <c r="AQ304" s="27037"/>
      <c r="AR304" s="27038"/>
      <c r="AS304" s="27039"/>
      <c r="AT304" s="27040"/>
      <c r="AU304" s="27041"/>
      <c r="AV304" s="27042"/>
      <c r="AW304" s="27043"/>
      <c r="AX304" s="27044"/>
      <c r="AY304" s="27045"/>
      <c r="AZ304" s="27046"/>
      <c r="BA304" s="27047"/>
      <c r="BB304" s="27048"/>
      <c r="BC304" s="27049"/>
      <c r="BD304" s="27050"/>
      <c r="BE304" s="27051"/>
      <c r="BF304" s="27052"/>
      <c r="BG304" s="27053"/>
      <c r="BH304" s="27054"/>
      <c r="BI304" s="27055"/>
      <c r="BJ304" s="27056"/>
      <c r="BK304" s="27057"/>
      <c r="BL304" s="27058"/>
      <c r="BM304" s="27059"/>
      <c r="BN304" s="27060"/>
      <c r="BO304" s="27061"/>
      <c r="BP304" s="27062"/>
      <c r="BQ304" s="27063"/>
      <c r="BR304" s="27064"/>
      <c r="BS304" s="27065"/>
      <c r="BT304" s="27066"/>
      <c r="BU304" s="27067"/>
      <c r="BV304" s="27068"/>
      <c r="BW304" s="27069"/>
      <c r="BX304" s="27070"/>
      <c r="BY304" s="27071"/>
      <c r="BZ304" s="27072"/>
      <c r="CA304" s="27073"/>
      <c r="CB304" s="27074"/>
      <c r="CC304" s="27075"/>
      <c r="CD304" s="27076"/>
      <c r="CE304" s="27077"/>
      <c r="CF304" s="27078"/>
      <c r="CG304" s="27079"/>
      <c r="CH304" s="27080"/>
      <c r="CI304" s="27081"/>
      <c r="CJ304" s="27082"/>
      <c r="CK304" s="27083"/>
      <c r="CL304" s="27084"/>
      <c r="CM304" s="27085"/>
      <c r="CN304" s="27086"/>
      <c r="CO304" s="27087"/>
      <c r="CP304" s="27088"/>
      <c r="CQ304" s="27089"/>
      <c r="CR304" s="27090"/>
      <c r="CS304" s="27091"/>
      <c r="CT304" s="27092"/>
      <c r="CU304" s="27093"/>
      <c r="CV304" s="21632" t="s">
        <v>623</v>
      </c>
      <c r="CW304" s="21281"/>
      <c r="CX304" s="21633"/>
      <c r="CY304" s="21633" t="str">
        <f>IF(T304="","",T304)</f>
        <v>Добавить значение признака дифференциации</v>
      </c>
      <c r="CZ304" s="21633"/>
      <c r="DA304" s="21633"/>
      <c r="DB304" s="21020">
        <v>0</v>
      </c>
    </row>
    <row s="58876" customFormat="1" customHeight="1" ht="23.25">
      <c r="A305" s="33106"/>
      <c r="B305" s="33106"/>
      <c r="C305" s="33106"/>
      <c r="D305" s="33106"/>
      <c r="E305" s="33107"/>
      <c r="F305" s="33107"/>
      <c r="G305" s="33107"/>
      <c r="H305" s="33107"/>
      <c r="I305" s="33108"/>
      <c r="J305" s="33109" t="str">
        <f>I300&amp;".2"</f>
        <v>1.15.1.1.2</v>
      </c>
      <c r="K305" s="33106"/>
      <c r="L305" s="33110" t="s">
        <v>545</v>
      </c>
      <c r="M305" s="33111"/>
      <c r="N305" s="33111"/>
      <c r="O305" s="33111"/>
      <c r="P305" s="33112"/>
      <c r="Q305" s="33113" t="s">
        <v>106</v>
      </c>
      <c r="R305" s="33114"/>
      <c r="S305" s="33115" t="str">
        <f>$J305</f>
        <v>1.15.1.1.2</v>
      </c>
      <c r="T305" s="33116" t="s">
        <v>546</v>
      </c>
      <c r="U305" s="33117"/>
      <c r="V305" s="33118"/>
      <c r="W305" s="33119"/>
      <c r="X305" s="33119"/>
      <c r="Y305" s="33119"/>
      <c r="Z305" s="33119"/>
      <c r="AA305" s="33119"/>
      <c r="AB305" s="33120"/>
      <c r="AC305" s="33118" t="s">
        <v>633</v>
      </c>
      <c r="AD305" s="33119"/>
      <c r="AE305" s="33119"/>
      <c r="AF305" s="33119"/>
      <c r="AG305" s="33119"/>
      <c r="AH305" s="33119"/>
      <c r="AI305" s="33119"/>
      <c r="AJ305" s="33118"/>
      <c r="AK305" s="33119"/>
      <c r="AL305" s="33119"/>
      <c r="AM305" s="33119"/>
      <c r="AN305" s="33119"/>
      <c r="AO305" s="33119"/>
      <c r="AP305" s="33120"/>
      <c r="AQ305" s="33118"/>
      <c r="AR305" s="33119"/>
      <c r="AS305" s="33119"/>
      <c r="AT305" s="33119"/>
      <c r="AU305" s="33119"/>
      <c r="AV305" s="33119"/>
      <c r="AW305" s="33120"/>
      <c r="AX305" s="33118"/>
      <c r="AY305" s="33119"/>
      <c r="AZ305" s="33119"/>
      <c r="BA305" s="33119"/>
      <c r="BB305" s="33119"/>
      <c r="BC305" s="33119"/>
      <c r="BD305" s="33120"/>
      <c r="BE305" s="33118"/>
      <c r="BF305" s="33119"/>
      <c r="BG305" s="33119"/>
      <c r="BH305" s="33119"/>
      <c r="BI305" s="33119"/>
      <c r="BJ305" s="33119"/>
      <c r="BK305" s="33120"/>
      <c r="BL305" s="33118"/>
      <c r="BM305" s="33119"/>
      <c r="BN305" s="33119"/>
      <c r="BO305" s="33119"/>
      <c r="BP305" s="33119"/>
      <c r="BQ305" s="33119"/>
      <c r="BR305" s="33120"/>
      <c r="BS305" s="33118"/>
      <c r="BT305" s="33119"/>
      <c r="BU305" s="33119"/>
      <c r="BV305" s="33119"/>
      <c r="BW305" s="33119"/>
      <c r="BX305" s="33119"/>
      <c r="BY305" s="33120"/>
      <c r="BZ305" s="33118"/>
      <c r="CA305" s="33119"/>
      <c r="CB305" s="33119"/>
      <c r="CC305" s="33119"/>
      <c r="CD305" s="33119"/>
      <c r="CE305" s="33119"/>
      <c r="CF305" s="33120"/>
      <c r="CG305" s="33118"/>
      <c r="CH305" s="33119"/>
      <c r="CI305" s="33119"/>
      <c r="CJ305" s="33119"/>
      <c r="CK305" s="33119"/>
      <c r="CL305" s="33119"/>
      <c r="CM305" s="33120"/>
      <c r="CN305" s="33118"/>
      <c r="CO305" s="33119"/>
      <c r="CP305" s="33119"/>
      <c r="CQ305" s="33119"/>
      <c r="CR305" s="33119"/>
      <c r="CS305" s="33119"/>
      <c r="CT305" s="33121"/>
      <c r="CU305" s="33120"/>
      <c r="CV305" s="33122" t="s">
        <v>621</v>
      </c>
      <c r="CW305" s="33123"/>
      <c r="CX305" s="33124"/>
      <c r="CY305" s="33124" t="str">
        <f>IF(T305="","",T305)</f>
        <v>Группа потребителей</v>
      </c>
      <c r="CZ305" s="33124"/>
      <c r="DA305" s="33124"/>
      <c r="DB305" s="33125">
        <v>0</v>
      </c>
    </row>
    <row s="58877" customFormat="1" customHeight="1" ht="23.25">
      <c r="A306" s="33106"/>
      <c r="B306" s="33106"/>
      <c r="C306" s="33106"/>
      <c r="D306" s="33106"/>
      <c r="E306" s="33107"/>
      <c r="F306" s="33107"/>
      <c r="G306" s="33107"/>
      <c r="H306" s="33107"/>
      <c r="I306" s="33108"/>
      <c r="J306" s="33108" t="str">
        <f>I300&amp;".1"</f>
        <v>1.15.1.1.1</v>
      </c>
      <c r="K306" s="33109" t="str">
        <f>J305&amp;".1"</f>
        <v>1.15.1.1.2.1</v>
      </c>
      <c r="L306" s="33110"/>
      <c r="M306" s="33111"/>
      <c r="N306" s="33111"/>
      <c r="O306" s="33111"/>
      <c r="P306" s="33112"/>
      <c r="Q306" s="33112"/>
      <c r="R306" s="33114">
        <v>1</v>
      </c>
      <c r="S306" s="33115" t="str">
        <f>$K306</f>
        <v>1.15.1.1.2.1</v>
      </c>
      <c r="T306" s="33127"/>
      <c r="U306" s="33117"/>
      <c r="V306" s="33128"/>
      <c r="W306" s="33128"/>
      <c r="X306" s="33129"/>
      <c r="Y306" s="33020"/>
      <c r="Z306" s="33130" t="s">
        <v>63</v>
      </c>
      <c r="AA306" s="33020"/>
      <c r="AB306" s="33130" t="s">
        <v>63</v>
      </c>
      <c r="AC306" s="33128">
        <v>27.21</v>
      </c>
      <c r="AD306" s="33128"/>
      <c r="AE306" s="33129"/>
      <c r="AF306" s="57093">
        <v>45292.65516203704</v>
      </c>
      <c r="AG306" s="33130" t="s">
        <v>63</v>
      </c>
      <c r="AH306" s="57094">
        <v>45473.65537037037</v>
      </c>
      <c r="AI306" s="33130" t="s">
        <v>63</v>
      </c>
      <c r="AJ306" s="33128">
        <v>35.37</v>
      </c>
      <c r="AK306" s="33128"/>
      <c r="AL306" s="33129"/>
      <c r="AM306" s="57093">
        <v>45474.655590277776</v>
      </c>
      <c r="AN306" s="33130" t="s">
        <v>63</v>
      </c>
      <c r="AO306" s="57093">
        <v>45657.655798611115</v>
      </c>
      <c r="AP306" s="33130" t="s">
        <v>63</v>
      </c>
      <c r="AQ306" s="33128">
        <v>35.37</v>
      </c>
      <c r="AR306" s="33128"/>
      <c r="AS306" s="33129"/>
      <c r="AT306" s="57093">
        <v>45658.65615740741</v>
      </c>
      <c r="AU306" s="33130" t="s">
        <v>63</v>
      </c>
      <c r="AV306" s="57093">
        <v>45838.65636574074</v>
      </c>
      <c r="AW306" s="33130" t="s">
        <v>63</v>
      </c>
      <c r="AX306" s="33128">
        <v>43.51</v>
      </c>
      <c r="AY306" s="33128"/>
      <c r="AZ306" s="33129"/>
      <c r="BA306" s="57093">
        <v>45839.6565625</v>
      </c>
      <c r="BB306" s="33130" t="s">
        <v>63</v>
      </c>
      <c r="BC306" s="57093">
        <v>46022.657164351855</v>
      </c>
      <c r="BD306" s="33130" t="s">
        <v>63</v>
      </c>
      <c r="BE306" s="33128">
        <v>43.51</v>
      </c>
      <c r="BF306" s="33128"/>
      <c r="BG306" s="33129"/>
      <c r="BH306" s="57093">
        <v>46023.65760416666</v>
      </c>
      <c r="BI306" s="33130" t="s">
        <v>63</v>
      </c>
      <c r="BJ306" s="57093">
        <v>46203.65783564815</v>
      </c>
      <c r="BK306" s="33130" t="s">
        <v>63</v>
      </c>
      <c r="BL306" s="33128">
        <v>45.25</v>
      </c>
      <c r="BM306" s="33128"/>
      <c r="BN306" s="33129"/>
      <c r="BO306" s="57093">
        <v>46204.65844907407</v>
      </c>
      <c r="BP306" s="33130" t="s">
        <v>63</v>
      </c>
      <c r="BQ306" s="57093">
        <v>46387.65865740741</v>
      </c>
      <c r="BR306" s="33130" t="s">
        <v>63</v>
      </c>
      <c r="BS306" s="33128">
        <v>45.25</v>
      </c>
      <c r="BT306" s="33128"/>
      <c r="BU306" s="33129"/>
      <c r="BV306" s="57093">
        <v>46388.65891203703</v>
      </c>
      <c r="BW306" s="33130" t="s">
        <v>63</v>
      </c>
      <c r="BX306" s="57093">
        <v>46568.65912037037</v>
      </c>
      <c r="BY306" s="33130" t="s">
        <v>63</v>
      </c>
      <c r="BZ306" s="33128">
        <v>47.06</v>
      </c>
      <c r="CA306" s="33128"/>
      <c r="CB306" s="33129"/>
      <c r="CC306" s="57093">
        <v>46569.65950231482</v>
      </c>
      <c r="CD306" s="33130" t="s">
        <v>63</v>
      </c>
      <c r="CE306" s="57093">
        <v>46752.65982638889</v>
      </c>
      <c r="CF306" s="33130" t="s">
        <v>63</v>
      </c>
      <c r="CG306" s="33128">
        <v>47.06</v>
      </c>
      <c r="CH306" s="33128"/>
      <c r="CI306" s="33129"/>
      <c r="CJ306" s="57093">
        <v>46753.66011574074</v>
      </c>
      <c r="CK306" s="33130" t="s">
        <v>63</v>
      </c>
      <c r="CL306" s="57093">
        <v>46934.660405092596</v>
      </c>
      <c r="CM306" s="33130" t="s">
        <v>63</v>
      </c>
      <c r="CN306" s="33128">
        <v>47.57</v>
      </c>
      <c r="CO306" s="33128"/>
      <c r="CP306" s="33129"/>
      <c r="CQ306" s="57093">
        <v>46935.6609837963</v>
      </c>
      <c r="CR306" s="33130" t="s">
        <v>63</v>
      </c>
      <c r="CS306" s="57093">
        <v>47118.661574074074</v>
      </c>
      <c r="CT306" s="33131" t="s">
        <v>63</v>
      </c>
      <c r="CU306" s="33132"/>
      <c r="CV306"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06" s="33123">
        <f>STRCHECKDATE(V307:CU307)</f>
      </c>
      <c r="CX306" s="33124"/>
      <c r="CY306" s="33124" t="str">
        <f>IF(T306="","",T306)</f>
        <v/>
      </c>
      <c r="CZ306" s="33124"/>
      <c r="DA306" s="33124"/>
      <c r="DB306" s="33125">
        <v>0</v>
      </c>
    </row>
    <row s="58878" customFormat="1" customHeight="1" ht="14.25">
      <c r="A307" s="33106"/>
      <c r="B307" s="33106"/>
      <c r="C307" s="33106"/>
      <c r="D307" s="33106"/>
      <c r="E307" s="33107"/>
      <c r="F307" s="33107"/>
      <c r="G307" s="33107"/>
      <c r="H307" s="33107"/>
      <c r="I307" s="33108"/>
      <c r="J307" s="33108" t="str">
        <f>I300&amp;".1"</f>
        <v>1.15.1.1.1</v>
      </c>
      <c r="K307" s="33109"/>
      <c r="L307" s="33110"/>
      <c r="M307" s="33111"/>
      <c r="N307" s="33111"/>
      <c r="O307" s="33111"/>
      <c r="P307" s="33112"/>
      <c r="Q307" s="33112"/>
      <c r="R307" s="33114"/>
      <c r="S307" s="33135"/>
      <c r="T307" s="33117"/>
      <c r="U307" s="33117"/>
      <c r="V307" s="33136"/>
      <c r="W307" s="33136"/>
      <c r="X307" s="33137" t="str">
        <f>Y306&amp;"-"&amp;AA306</f>
        <v>-</v>
      </c>
      <c r="Y307" s="33138"/>
      <c r="Z307" s="33130"/>
      <c r="AA307" s="33138"/>
      <c r="AB307" s="33130"/>
      <c r="AC307" s="33136"/>
      <c r="AD307" s="33136"/>
      <c r="AE307" s="33137" t="str">
        <f>AF306&amp;"-"&amp;AH306</f>
        <v>45292.65516203704-45473.65537037037</v>
      </c>
      <c r="AF307" s="33138"/>
      <c r="AG307" s="33130"/>
      <c r="AH307" s="33139"/>
      <c r="AI307" s="33130"/>
      <c r="AJ307" s="33136"/>
      <c r="AK307" s="33136"/>
      <c r="AL307" s="33137" t="str">
        <f>AM306&amp;"-"&amp;AO306</f>
        <v>45474.655590277776-45657.655798611115</v>
      </c>
      <c r="AM307" s="33138"/>
      <c r="AN307" s="33130"/>
      <c r="AO307" s="33138"/>
      <c r="AP307" s="33130"/>
      <c r="AQ307" s="33136"/>
      <c r="AR307" s="33136"/>
      <c r="AS307" s="33137" t="str">
        <f>AT306&amp;"-"&amp;AV306</f>
        <v>45658.65615740741-45838.65636574074</v>
      </c>
      <c r="AT307" s="33138"/>
      <c r="AU307" s="33130"/>
      <c r="AV307" s="33138"/>
      <c r="AW307" s="33130"/>
      <c r="AX307" s="33136"/>
      <c r="AY307" s="33136"/>
      <c r="AZ307" s="33137" t="str">
        <f>BA306&amp;"-"&amp;BC306</f>
        <v>45839.6565625-46022.657164351855</v>
      </c>
      <c r="BA307" s="33138"/>
      <c r="BB307" s="33130"/>
      <c r="BC307" s="33138"/>
      <c r="BD307" s="33130"/>
      <c r="BE307" s="33136"/>
      <c r="BF307" s="33136"/>
      <c r="BG307" s="33137" t="str">
        <f>BH306&amp;"-"&amp;BJ306</f>
        <v>46023.65760416666-46203.65783564815</v>
      </c>
      <c r="BH307" s="33138"/>
      <c r="BI307" s="33130"/>
      <c r="BJ307" s="33138"/>
      <c r="BK307" s="33130"/>
      <c r="BL307" s="33136"/>
      <c r="BM307" s="33136"/>
      <c r="BN307" s="33137" t="str">
        <f>BO306&amp;"-"&amp;BQ306</f>
        <v>46204.65844907407-46387.65865740741</v>
      </c>
      <c r="BO307" s="33138"/>
      <c r="BP307" s="33130"/>
      <c r="BQ307" s="33138"/>
      <c r="BR307" s="33130"/>
      <c r="BS307" s="33136"/>
      <c r="BT307" s="33136"/>
      <c r="BU307" s="33137" t="str">
        <f>BV306&amp;"-"&amp;BX306</f>
        <v>46388.65891203703-46568.65912037037</v>
      </c>
      <c r="BV307" s="33138"/>
      <c r="BW307" s="33130"/>
      <c r="BX307" s="33138"/>
      <c r="BY307" s="33130"/>
      <c r="BZ307" s="33136"/>
      <c r="CA307" s="33136"/>
      <c r="CB307" s="33137" t="str">
        <f>CC306&amp;"-"&amp;CE306</f>
        <v>46569.65950231482-46752.65982638889</v>
      </c>
      <c r="CC307" s="33138"/>
      <c r="CD307" s="33130"/>
      <c r="CE307" s="33138"/>
      <c r="CF307" s="33130"/>
      <c r="CG307" s="33136"/>
      <c r="CH307" s="33136"/>
      <c r="CI307" s="33137" t="str">
        <f>CJ306&amp;"-"&amp;CL306</f>
        <v>46753.66011574074-46934.660405092596</v>
      </c>
      <c r="CJ307" s="33138"/>
      <c r="CK307" s="33130"/>
      <c r="CL307" s="33138"/>
      <c r="CM307" s="33130"/>
      <c r="CN307" s="33136"/>
      <c r="CO307" s="33136"/>
      <c r="CP307" s="33137" t="str">
        <f>CQ306&amp;"-"&amp;CS306</f>
        <v>46935.6609837963-47118.661574074074</v>
      </c>
      <c r="CQ307" s="33138"/>
      <c r="CR307" s="33130"/>
      <c r="CS307" s="33138"/>
      <c r="CT307" s="33131"/>
      <c r="CU307" s="33140"/>
      <c r="CV307" s="33133"/>
      <c r="CW307" s="33123"/>
      <c r="CX307" s="33124"/>
      <c r="CY307" s="33124" t="str">
        <f>IF(T307="","",T307)</f>
        <v/>
      </c>
      <c r="CZ307" s="33124"/>
      <c r="DA307" s="33124"/>
      <c r="DB307" s="33125">
        <v>0</v>
      </c>
    </row>
    <row s="58879" customFormat="1" customHeight="1" ht="21">
      <c r="A308" s="33106"/>
      <c r="B308" s="33106"/>
      <c r="C308" s="33106"/>
      <c r="D308" s="33106"/>
      <c r="E308" s="33107"/>
      <c r="F308" s="33107"/>
      <c r="G308" s="33107"/>
      <c r="H308" s="33107"/>
      <c r="I308" s="33108"/>
      <c r="J308" s="33109" t="str">
        <f>I300&amp;".1"</f>
        <v>1.15.1.1.1</v>
      </c>
      <c r="K308" s="33106"/>
      <c r="L308" s="33110"/>
      <c r="M308" s="33111"/>
      <c r="N308" s="33111"/>
      <c r="O308" s="33111"/>
      <c r="P308" s="33112"/>
      <c r="Q308" s="33112"/>
      <c r="R308" s="33142"/>
      <c r="S308" s="37728"/>
      <c r="T308" s="37729" t="s">
        <v>622</v>
      </c>
      <c r="U308" s="37730"/>
      <c r="V308" s="37731"/>
      <c r="W308" s="37732"/>
      <c r="X308" s="37733"/>
      <c r="Y308" s="37734"/>
      <c r="Z308" s="37735"/>
      <c r="AA308" s="37736"/>
      <c r="AB308" s="37737"/>
      <c r="AC308" s="37738"/>
      <c r="AD308" s="37739"/>
      <c r="AE308" s="37740"/>
      <c r="AF308" s="37741"/>
      <c r="AG308" s="37742"/>
      <c r="AH308" s="37743"/>
      <c r="AI308" s="37744"/>
      <c r="AJ308" s="37745"/>
      <c r="AK308" s="37746"/>
      <c r="AL308" s="37747"/>
      <c r="AM308" s="37748"/>
      <c r="AN308" s="37749"/>
      <c r="AO308" s="37750"/>
      <c r="AP308" s="37751"/>
      <c r="AQ308" s="37752"/>
      <c r="AR308" s="37753"/>
      <c r="AS308" s="37754"/>
      <c r="AT308" s="37755"/>
      <c r="AU308" s="37756"/>
      <c r="AV308" s="37757"/>
      <c r="AW308" s="37758"/>
      <c r="AX308" s="37759"/>
      <c r="AY308" s="37760"/>
      <c r="AZ308" s="37761"/>
      <c r="BA308" s="37762"/>
      <c r="BB308" s="37763"/>
      <c r="BC308" s="37764"/>
      <c r="BD308" s="37765"/>
      <c r="BE308" s="37766"/>
      <c r="BF308" s="37767"/>
      <c r="BG308" s="37768"/>
      <c r="BH308" s="37769"/>
      <c r="BI308" s="37770"/>
      <c r="BJ308" s="37771"/>
      <c r="BK308" s="37772"/>
      <c r="BL308" s="37773"/>
      <c r="BM308" s="37774"/>
      <c r="BN308" s="37775"/>
      <c r="BO308" s="37776"/>
      <c r="BP308" s="37777"/>
      <c r="BQ308" s="37778"/>
      <c r="BR308" s="37779"/>
      <c r="BS308" s="37780"/>
      <c r="BT308" s="37781"/>
      <c r="BU308" s="37782"/>
      <c r="BV308" s="37783"/>
      <c r="BW308" s="37784"/>
      <c r="BX308" s="37785"/>
      <c r="BY308" s="37786"/>
      <c r="BZ308" s="37787"/>
      <c r="CA308" s="37788"/>
      <c r="CB308" s="37789"/>
      <c r="CC308" s="37790"/>
      <c r="CD308" s="37791"/>
      <c r="CE308" s="37792"/>
      <c r="CF308" s="37793"/>
      <c r="CG308" s="37794"/>
      <c r="CH308" s="37795"/>
      <c r="CI308" s="37796"/>
      <c r="CJ308" s="37797"/>
      <c r="CK308" s="37798"/>
      <c r="CL308" s="37799"/>
      <c r="CM308" s="37800"/>
      <c r="CN308" s="37801"/>
      <c r="CO308" s="37802"/>
      <c r="CP308" s="37803"/>
      <c r="CQ308" s="37804"/>
      <c r="CR308" s="37805"/>
      <c r="CS308" s="37806"/>
      <c r="CT308" s="37807"/>
      <c r="CU308" s="37808"/>
      <c r="CV308" s="33224" t="s">
        <v>623</v>
      </c>
      <c r="CW308" s="33123"/>
      <c r="CX308" s="33124"/>
      <c r="CY308" s="33124" t="str">
        <f>IF(T308="","",T308)</f>
        <v>Добавить значение признака дифференциации</v>
      </c>
      <c r="CZ308" s="33124"/>
      <c r="DA308" s="33124"/>
      <c r="DB308" s="33125">
        <v>0</v>
      </c>
    </row>
    <row s="58961" customFormat="1" customHeight="1" ht="21">
      <c r="A309" s="21621"/>
      <c r="B309" s="21621"/>
      <c r="C309" s="21621"/>
      <c r="D309" s="21621"/>
      <c r="E309" s="21622"/>
      <c r="F309" s="21622" t="s">
        <v>164</v>
      </c>
      <c r="G309" s="21622"/>
      <c r="H309" s="21622"/>
      <c r="I309" s="21638"/>
      <c r="J309" s="21621"/>
      <c r="K309" s="21621"/>
      <c r="L309" s="21624"/>
      <c r="M309" s="21639"/>
      <c r="N309" s="21639"/>
      <c r="O309" s="21639"/>
      <c r="P309" s="21640"/>
      <c r="Q309" s="21640"/>
      <c r="R309" s="21641"/>
      <c r="S309" s="27095"/>
      <c r="T309" s="27096" t="s">
        <v>551</v>
      </c>
      <c r="U309" s="27097"/>
      <c r="V309" s="27098"/>
      <c r="W309" s="27099"/>
      <c r="X309" s="27100"/>
      <c r="Y309" s="27101"/>
      <c r="Z309" s="27102"/>
      <c r="AA309" s="27103"/>
      <c r="AB309" s="27104"/>
      <c r="AC309" s="27105"/>
      <c r="AD309" s="27106"/>
      <c r="AE309" s="27107"/>
      <c r="AF309" s="27108"/>
      <c r="AG309" s="27109"/>
      <c r="AH309" s="27110"/>
      <c r="AI309" s="27111"/>
      <c r="AJ309" s="27112"/>
      <c r="AK309" s="27113"/>
      <c r="AL309" s="27114"/>
      <c r="AM309" s="27115"/>
      <c r="AN309" s="27116"/>
      <c r="AO309" s="27117"/>
      <c r="AP309" s="27118"/>
      <c r="AQ309" s="27119"/>
      <c r="AR309" s="27120"/>
      <c r="AS309" s="27121"/>
      <c r="AT309" s="27122"/>
      <c r="AU309" s="27123"/>
      <c r="AV309" s="27124"/>
      <c r="AW309" s="27125"/>
      <c r="AX309" s="27126"/>
      <c r="AY309" s="27127"/>
      <c r="AZ309" s="27128"/>
      <c r="BA309" s="27129"/>
      <c r="BB309" s="27130"/>
      <c r="BC309" s="27131"/>
      <c r="BD309" s="27132"/>
      <c r="BE309" s="27133"/>
      <c r="BF309" s="27134"/>
      <c r="BG309" s="27135"/>
      <c r="BH309" s="27136"/>
      <c r="BI309" s="27137"/>
      <c r="BJ309" s="27138"/>
      <c r="BK309" s="27139"/>
      <c r="BL309" s="27140"/>
      <c r="BM309" s="27141"/>
      <c r="BN309" s="27142"/>
      <c r="BO309" s="27143"/>
      <c r="BP309" s="27144"/>
      <c r="BQ309" s="27145"/>
      <c r="BR309" s="27146"/>
      <c r="BS309" s="27147"/>
      <c r="BT309" s="27148"/>
      <c r="BU309" s="27149"/>
      <c r="BV309" s="27150"/>
      <c r="BW309" s="27151"/>
      <c r="BX309" s="27152"/>
      <c r="BY309" s="27153"/>
      <c r="BZ309" s="27154"/>
      <c r="CA309" s="27155"/>
      <c r="CB309" s="27156"/>
      <c r="CC309" s="27157"/>
      <c r="CD309" s="27158"/>
      <c r="CE309" s="27159"/>
      <c r="CF309" s="27160"/>
      <c r="CG309" s="27161"/>
      <c r="CH309" s="27162"/>
      <c r="CI309" s="27163"/>
      <c r="CJ309" s="27164"/>
      <c r="CK309" s="27165"/>
      <c r="CL309" s="27166"/>
      <c r="CM309" s="27167"/>
      <c r="CN309" s="27168"/>
      <c r="CO309" s="27169"/>
      <c r="CP309" s="27170"/>
      <c r="CQ309" s="27171"/>
      <c r="CR309" s="27172"/>
      <c r="CS309" s="27173"/>
      <c r="CT309" s="27174"/>
      <c r="CU309" s="27175"/>
      <c r="CV309" s="27176"/>
      <c r="CW309" s="21281"/>
      <c r="CX309" s="21633"/>
      <c r="CY309" s="21633" t="str">
        <f>IF(T309="","",T309)</f>
        <v>Добавить группу потребителей</v>
      </c>
      <c r="CZ309" s="21633"/>
      <c r="DA309" s="21633"/>
      <c r="DB309" s="21020">
        <v>0</v>
      </c>
    </row>
    <row s="59044" customFormat="1" customHeight="1" ht="14.25">
      <c r="A310" s="21621"/>
      <c r="B310" s="21621"/>
      <c r="C310" s="21621"/>
      <c r="D310" s="21621"/>
      <c r="E310" s="21622"/>
      <c r="F310" s="21622" t="s">
        <v>164</v>
      </c>
      <c r="G310" s="21622"/>
      <c r="H310" s="21623"/>
      <c r="I310" s="21621"/>
      <c r="J310" s="21621"/>
      <c r="K310" s="21621"/>
      <c r="L310" s="21624"/>
      <c r="M310" s="21625"/>
      <c r="N310" s="21625"/>
      <c r="O310" s="21264"/>
      <c r="P310" s="21910"/>
      <c r="Q310" s="21911"/>
      <c r="R310" s="21912"/>
      <c r="S310" s="27178"/>
      <c r="T310" s="27179" t="s">
        <v>624</v>
      </c>
      <c r="U310" s="27180"/>
      <c r="V310" s="27181"/>
      <c r="W310" s="27182"/>
      <c r="X310" s="27183"/>
      <c r="Y310" s="27184"/>
      <c r="Z310" s="27185"/>
      <c r="AA310" s="27186"/>
      <c r="AB310" s="27187"/>
      <c r="AC310" s="27188"/>
      <c r="AD310" s="27189"/>
      <c r="AE310" s="27190"/>
      <c r="AF310" s="27191"/>
      <c r="AG310" s="27192"/>
      <c r="AH310" s="27193"/>
      <c r="AI310" s="27194"/>
      <c r="AJ310" s="27195"/>
      <c r="AK310" s="27196"/>
      <c r="AL310" s="27197"/>
      <c r="AM310" s="27198"/>
      <c r="AN310" s="27199"/>
      <c r="AO310" s="27200"/>
      <c r="AP310" s="27201"/>
      <c r="AQ310" s="27202"/>
      <c r="AR310" s="27203"/>
      <c r="AS310" s="27204"/>
      <c r="AT310" s="27205"/>
      <c r="AU310" s="27206"/>
      <c r="AV310" s="27207"/>
      <c r="AW310" s="27208"/>
      <c r="AX310" s="27209"/>
      <c r="AY310" s="27210"/>
      <c r="AZ310" s="27211"/>
      <c r="BA310" s="27212"/>
      <c r="BB310" s="27213"/>
      <c r="BC310" s="27214"/>
      <c r="BD310" s="27215"/>
      <c r="BE310" s="27216"/>
      <c r="BF310" s="27217"/>
      <c r="BG310" s="27218"/>
      <c r="BH310" s="27219"/>
      <c r="BI310" s="27220"/>
      <c r="BJ310" s="27221"/>
      <c r="BK310" s="27222"/>
      <c r="BL310" s="27223"/>
      <c r="BM310" s="27224"/>
      <c r="BN310" s="27225"/>
      <c r="BO310" s="27226"/>
      <c r="BP310" s="27227"/>
      <c r="BQ310" s="27228"/>
      <c r="BR310" s="27229"/>
      <c r="BS310" s="27230"/>
      <c r="BT310" s="27231"/>
      <c r="BU310" s="27232"/>
      <c r="BV310" s="27233"/>
      <c r="BW310" s="27234"/>
      <c r="BX310" s="27235"/>
      <c r="BY310" s="27236"/>
      <c r="BZ310" s="27237"/>
      <c r="CA310" s="27238"/>
      <c r="CB310" s="27239"/>
      <c r="CC310" s="27240"/>
      <c r="CD310" s="27241"/>
      <c r="CE310" s="27242"/>
      <c r="CF310" s="27243"/>
      <c r="CG310" s="27244"/>
      <c r="CH310" s="27245"/>
      <c r="CI310" s="27246"/>
      <c r="CJ310" s="27247"/>
      <c r="CK310" s="27248"/>
      <c r="CL310" s="27249"/>
      <c r="CM310" s="27250"/>
      <c r="CN310" s="27251"/>
      <c r="CO310" s="27252"/>
      <c r="CP310" s="27253"/>
      <c r="CQ310" s="27254"/>
      <c r="CR310" s="27255"/>
      <c r="CS310" s="27256"/>
      <c r="CT310" s="27257"/>
      <c r="CU310" s="27258"/>
      <c r="CV310" s="27259"/>
      <c r="CW310" s="21281"/>
      <c r="CX310" s="21633"/>
      <c r="CY310" s="21633" t="str">
        <f>IF(T310="","",T310)</f>
        <v>Добавить наименование признака дифференциации</v>
      </c>
      <c r="CZ310" s="21633"/>
      <c r="DA310" s="21633"/>
      <c r="DB310" s="21020">
        <v>0</v>
      </c>
    </row>
    <row s="59127" customFormat="1" customHeight="1" ht="23.25">
      <c r="A311" s="21621"/>
      <c r="B311" s="21621"/>
      <c r="C311" s="21621" t="s">
        <v>363</v>
      </c>
      <c r="D311" s="21621"/>
      <c r="E311" s="21622"/>
      <c r="F311" s="21622"/>
      <c r="G311" s="21623" t="s">
        <v>105</v>
      </c>
      <c r="H311" s="21621"/>
      <c r="I311" s="21621"/>
      <c r="J311" s="21621"/>
      <c r="K311" s="21621"/>
      <c r="L311" s="21624"/>
      <c r="M311" s="21625"/>
      <c r="N311" s="21625"/>
      <c r="O311" s="21625"/>
      <c r="P311" s="21635"/>
      <c r="Q311" s="21627"/>
      <c r="R311" s="21628"/>
      <c r="S311" s="21629" t="str">
        <f>INDEX(PT_DIFFERENTIATION_NUM_CS,MATCH(C311,PT_DIFFERENTIATION_CS_ID,0))</f>
        <v>1.15.2</v>
      </c>
      <c r="T311" s="21636" t="s">
        <v>617</v>
      </c>
      <c r="U311" s="21631"/>
      <c r="V311" s="21025"/>
      <c r="W311" s="21026"/>
      <c r="X311" s="21026"/>
      <c r="Y311" s="21026"/>
      <c r="Z311" s="21026"/>
      <c r="AA311" s="21026"/>
      <c r="AB311" s="21027"/>
      <c r="AC311" s="21025" t="str">
        <f>INDEX(PT_DIFFERENTIATION_CS,MATCH(C311,PT_DIFFERENTIATION_CS_ID,0))</f>
        <v>ЗАТО город Фокино (пгт. Путятин)</v>
      </c>
      <c r="AD311" s="21026"/>
      <c r="AE311" s="21026"/>
      <c r="AF311" s="21026"/>
      <c r="AG311" s="21026"/>
      <c r="AH311" s="21026"/>
      <c r="AI311" s="21026"/>
      <c r="AJ311" s="21025"/>
      <c r="AK311" s="21026"/>
      <c r="AL311" s="21026"/>
      <c r="AM311" s="21026"/>
      <c r="AN311" s="21026"/>
      <c r="AO311" s="21026"/>
      <c r="AP311" s="21027"/>
      <c r="AQ311" s="21025"/>
      <c r="AR311" s="21026"/>
      <c r="AS311" s="21026"/>
      <c r="AT311" s="21026"/>
      <c r="AU311" s="21026"/>
      <c r="AV311" s="21026"/>
      <c r="AW311" s="21027"/>
      <c r="AX311" s="21025"/>
      <c r="AY311" s="21026"/>
      <c r="AZ311" s="21026"/>
      <c r="BA311" s="21026"/>
      <c r="BB311" s="21026"/>
      <c r="BC311" s="21026"/>
      <c r="BD311" s="21027"/>
      <c r="BE311" s="21025"/>
      <c r="BF311" s="21026"/>
      <c r="BG311" s="21026"/>
      <c r="BH311" s="21026"/>
      <c r="BI311" s="21026"/>
      <c r="BJ311" s="21026"/>
      <c r="BK311" s="21027"/>
      <c r="BL311" s="21025"/>
      <c r="BM311" s="21026"/>
      <c r="BN311" s="21026"/>
      <c r="BO311" s="21026"/>
      <c r="BP311" s="21026"/>
      <c r="BQ311" s="21026"/>
      <c r="BR311" s="21027"/>
      <c r="BS311" s="21025"/>
      <c r="BT311" s="21026"/>
      <c r="BU311" s="21026"/>
      <c r="BV311" s="21026"/>
      <c r="BW311" s="21026"/>
      <c r="BX311" s="21026"/>
      <c r="BY311" s="21027"/>
      <c r="BZ311" s="21025"/>
      <c r="CA311" s="21026"/>
      <c r="CB311" s="21026"/>
      <c r="CC311" s="21026"/>
      <c r="CD311" s="21026"/>
      <c r="CE311" s="21026"/>
      <c r="CF311" s="21027"/>
      <c r="CG311" s="21025"/>
      <c r="CH311" s="21026"/>
      <c r="CI311" s="21026"/>
      <c r="CJ311" s="21026"/>
      <c r="CK311" s="21026"/>
      <c r="CL311" s="21026"/>
      <c r="CM311" s="21027"/>
      <c r="CN311" s="21025"/>
      <c r="CO311" s="21026"/>
      <c r="CP311" s="21026"/>
      <c r="CQ311" s="21026"/>
      <c r="CR311" s="21026"/>
      <c r="CS311" s="21026"/>
      <c r="CT311" s="21027"/>
      <c r="CU311" s="21027"/>
      <c r="CV311" s="21632" t="s">
        <v>618</v>
      </c>
      <c r="CW311" s="21281"/>
      <c r="CX311" s="21633"/>
      <c r="CY311" s="21633" t="str">
        <f>IF(T311="","",T311)</f>
        <v>Наименование централизованной системы холодного водоснабжения</v>
      </c>
      <c r="CZ311" s="21633"/>
      <c r="DA311" s="21633"/>
      <c r="DB311" s="21020">
        <v>0</v>
      </c>
    </row>
    <row s="59128" customFormat="1" customHeight="1" ht="23.25">
      <c r="A312" s="21621"/>
      <c r="B312" s="21621"/>
      <c r="C312" s="21621"/>
      <c r="D312" s="21621"/>
      <c r="E312" s="21622"/>
      <c r="F312" s="21622"/>
      <c r="G312" s="21622">
        <v>1</v>
      </c>
      <c r="H312" s="21622"/>
      <c r="I312" s="21638" t="str">
        <f>S311&amp;".1"</f>
        <v>1.15.2.1</v>
      </c>
      <c r="J312" s="21621"/>
      <c r="K312" s="21621"/>
      <c r="L312" s="21624"/>
      <c r="M312" s="21639"/>
      <c r="N312" s="21639"/>
      <c r="O312" s="21639"/>
      <c r="P312" s="21640">
        <v>1</v>
      </c>
      <c r="Q312" s="21640"/>
      <c r="R312" s="21641"/>
      <c r="S312" s="21629" t="str">
        <f>$I312</f>
        <v>1.15.2.1</v>
      </c>
      <c r="T312" s="21642" t="s">
        <v>619</v>
      </c>
      <c r="U312" s="21631"/>
      <c r="V312" s="21038"/>
      <c r="W312" s="21039"/>
      <c r="X312" s="21039"/>
      <c r="Y312" s="21039"/>
      <c r="Z312" s="21039"/>
      <c r="AA312" s="21039"/>
      <c r="AB312" s="21040"/>
      <c r="AC312" s="21643"/>
      <c r="AD312" s="21644"/>
      <c r="AE312" s="21644"/>
      <c r="AF312" s="21644"/>
      <c r="AG312" s="21644"/>
      <c r="AH312" s="21644"/>
      <c r="AI312" s="21644"/>
      <c r="AJ312" s="21038"/>
      <c r="AK312" s="21039"/>
      <c r="AL312" s="21039"/>
      <c r="AM312" s="21039"/>
      <c r="AN312" s="21039"/>
      <c r="AO312" s="21039"/>
      <c r="AP312" s="21040"/>
      <c r="AQ312" s="21038"/>
      <c r="AR312" s="21039"/>
      <c r="AS312" s="21039"/>
      <c r="AT312" s="21039"/>
      <c r="AU312" s="21039"/>
      <c r="AV312" s="21039"/>
      <c r="AW312" s="21040"/>
      <c r="AX312" s="21038"/>
      <c r="AY312" s="21039"/>
      <c r="AZ312" s="21039"/>
      <c r="BA312" s="21039"/>
      <c r="BB312" s="21039"/>
      <c r="BC312" s="21039"/>
      <c r="BD312" s="21040"/>
      <c r="BE312" s="21038"/>
      <c r="BF312" s="21039"/>
      <c r="BG312" s="21039"/>
      <c r="BH312" s="21039"/>
      <c r="BI312" s="21039"/>
      <c r="BJ312" s="21039"/>
      <c r="BK312" s="21040"/>
      <c r="BL312" s="21038"/>
      <c r="BM312" s="21039"/>
      <c r="BN312" s="21039"/>
      <c r="BO312" s="21039"/>
      <c r="BP312" s="21039"/>
      <c r="BQ312" s="21039"/>
      <c r="BR312" s="21040"/>
      <c r="BS312" s="21038"/>
      <c r="BT312" s="21039"/>
      <c r="BU312" s="21039"/>
      <c r="BV312" s="21039"/>
      <c r="BW312" s="21039"/>
      <c r="BX312" s="21039"/>
      <c r="BY312" s="21040"/>
      <c r="BZ312" s="21038"/>
      <c r="CA312" s="21039"/>
      <c r="CB312" s="21039"/>
      <c r="CC312" s="21039"/>
      <c r="CD312" s="21039"/>
      <c r="CE312" s="21039"/>
      <c r="CF312" s="21040"/>
      <c r="CG312" s="21038"/>
      <c r="CH312" s="21039"/>
      <c r="CI312" s="21039"/>
      <c r="CJ312" s="21039"/>
      <c r="CK312" s="21039"/>
      <c r="CL312" s="21039"/>
      <c r="CM312" s="21040"/>
      <c r="CN312" s="21038"/>
      <c r="CO312" s="21039"/>
      <c r="CP312" s="21039"/>
      <c r="CQ312" s="21039"/>
      <c r="CR312" s="21039"/>
      <c r="CS312" s="21039"/>
      <c r="CT312" s="21040"/>
      <c r="CU312" s="21645"/>
      <c r="CV312" s="21632" t="s">
        <v>620</v>
      </c>
      <c r="CW312" s="21281"/>
      <c r="CX312" s="21633"/>
      <c r="CY312" s="21633" t="str">
        <f>IF(T312="","",T312)</f>
        <v>Наименование признака дифференциации</v>
      </c>
      <c r="CZ312" s="21633"/>
      <c r="DA312" s="21633"/>
      <c r="DB312" s="21020">
        <v>0</v>
      </c>
    </row>
    <row s="59129" customFormat="1" customHeight="1" ht="23.25">
      <c r="A313" s="21621"/>
      <c r="B313" s="21621"/>
      <c r="C313" s="21621"/>
      <c r="D313" s="21621"/>
      <c r="E313" s="21622"/>
      <c r="F313" s="21622"/>
      <c r="G313" s="21622">
        <v>1</v>
      </c>
      <c r="H313" s="21622"/>
      <c r="I313" s="21647"/>
      <c r="J313" s="21638" t="str">
        <f>I312&amp;".1"</f>
        <v>1.15.2.1.1</v>
      </c>
      <c r="K313" s="21621"/>
      <c r="L313" s="21624" t="s">
        <v>545</v>
      </c>
      <c r="M313" s="21639"/>
      <c r="N313" s="21639"/>
      <c r="O313" s="21639"/>
      <c r="P313" s="21640"/>
      <c r="Q313" s="21640">
        <v>1</v>
      </c>
      <c r="R313" s="21648"/>
      <c r="S313" s="21629" t="str">
        <f>$J313</f>
        <v>1.15.2.1.1</v>
      </c>
      <c r="T313" s="21649" t="s">
        <v>546</v>
      </c>
      <c r="U313" s="21631"/>
      <c r="V313" s="21045"/>
      <c r="W313" s="21046"/>
      <c r="X313" s="21046"/>
      <c r="Y313" s="21046"/>
      <c r="Z313" s="21046"/>
      <c r="AA313" s="21046"/>
      <c r="AB313" s="21047"/>
      <c r="AC313" s="21045" t="s">
        <v>632</v>
      </c>
      <c r="AD313" s="21046"/>
      <c r="AE313" s="21046"/>
      <c r="AF313" s="21046"/>
      <c r="AG313" s="21046"/>
      <c r="AH313" s="21046"/>
      <c r="AI313" s="21046"/>
      <c r="AJ313" s="21045"/>
      <c r="AK313" s="21046"/>
      <c r="AL313" s="21046"/>
      <c r="AM313" s="21046"/>
      <c r="AN313" s="21046"/>
      <c r="AO313" s="21046"/>
      <c r="AP313" s="21047"/>
      <c r="AQ313" s="21045"/>
      <c r="AR313" s="21046"/>
      <c r="AS313" s="21046"/>
      <c r="AT313" s="21046"/>
      <c r="AU313" s="21046"/>
      <c r="AV313" s="21046"/>
      <c r="AW313" s="21047"/>
      <c r="AX313" s="21045"/>
      <c r="AY313" s="21046"/>
      <c r="AZ313" s="21046"/>
      <c r="BA313" s="21046"/>
      <c r="BB313" s="21046"/>
      <c r="BC313" s="21046"/>
      <c r="BD313" s="21047"/>
      <c r="BE313" s="21045"/>
      <c r="BF313" s="21046"/>
      <c r="BG313" s="21046"/>
      <c r="BH313" s="21046"/>
      <c r="BI313" s="21046"/>
      <c r="BJ313" s="21046"/>
      <c r="BK313" s="21047"/>
      <c r="BL313" s="21045"/>
      <c r="BM313" s="21046"/>
      <c r="BN313" s="21046"/>
      <c r="BO313" s="21046"/>
      <c r="BP313" s="21046"/>
      <c r="BQ313" s="21046"/>
      <c r="BR313" s="21047"/>
      <c r="BS313" s="21045"/>
      <c r="BT313" s="21046"/>
      <c r="BU313" s="21046"/>
      <c r="BV313" s="21046"/>
      <c r="BW313" s="21046"/>
      <c r="BX313" s="21046"/>
      <c r="BY313" s="21047"/>
      <c r="BZ313" s="21045"/>
      <c r="CA313" s="21046"/>
      <c r="CB313" s="21046"/>
      <c r="CC313" s="21046"/>
      <c r="CD313" s="21046"/>
      <c r="CE313" s="21046"/>
      <c r="CF313" s="21047"/>
      <c r="CG313" s="21045"/>
      <c r="CH313" s="21046"/>
      <c r="CI313" s="21046"/>
      <c r="CJ313" s="21046"/>
      <c r="CK313" s="21046"/>
      <c r="CL313" s="21046"/>
      <c r="CM313" s="21047"/>
      <c r="CN313" s="21045"/>
      <c r="CO313" s="21046"/>
      <c r="CP313" s="21046"/>
      <c r="CQ313" s="21046"/>
      <c r="CR313" s="21046"/>
      <c r="CS313" s="21046"/>
      <c r="CT313" s="21047"/>
      <c r="CU313" s="21047"/>
      <c r="CV313" s="21650" t="s">
        <v>621</v>
      </c>
      <c r="CW313" s="21281"/>
      <c r="CX313" s="21633"/>
      <c r="CY313" s="21633" t="str">
        <f>IF(T313="","",T313)</f>
        <v>Группа потребителей</v>
      </c>
      <c r="CZ313" s="21633"/>
      <c r="DA313" s="21633"/>
      <c r="DB313" s="21020">
        <v>0</v>
      </c>
    </row>
    <row s="59130" customFormat="1" customHeight="1" ht="23.25">
      <c r="A314" s="21621"/>
      <c r="B314" s="21621"/>
      <c r="C314" s="21621"/>
      <c r="D314" s="21621"/>
      <c r="E314" s="21622"/>
      <c r="F314" s="21622"/>
      <c r="G314" s="21622">
        <v>1</v>
      </c>
      <c r="H314" s="21622"/>
      <c r="I314" s="21647"/>
      <c r="J314" s="21647"/>
      <c r="K314" s="21638" t="str">
        <f>J313&amp;".1"</f>
        <v>1.15.2.1.1.1</v>
      </c>
      <c r="L314" s="21624"/>
      <c r="M314" s="21639"/>
      <c r="N314" s="21639"/>
      <c r="O314" s="21639"/>
      <c r="P314" s="21640"/>
      <c r="Q314" s="21640"/>
      <c r="R314" s="21648">
        <v>1</v>
      </c>
      <c r="S314" s="21629" t="str">
        <f>$K314</f>
        <v>1.15.2.1.1.1</v>
      </c>
      <c r="T314" s="21652"/>
      <c r="U314" s="21631"/>
      <c r="V314" s="21053"/>
      <c r="W314" s="21053"/>
      <c r="X314" s="21054"/>
      <c r="Y314" s="21055"/>
      <c r="Z314" s="21056" t="s">
        <v>63</v>
      </c>
      <c r="AA314" s="21055"/>
      <c r="AB314" s="21056" t="s">
        <v>63</v>
      </c>
      <c r="AC314" s="21053">
        <v>38.93</v>
      </c>
      <c r="AD314" s="21053"/>
      <c r="AE314" s="21054"/>
      <c r="AF314" s="57093">
        <v>45292.67298611111</v>
      </c>
      <c r="AG314" s="21056" t="s">
        <v>63</v>
      </c>
      <c r="AH314" s="57094">
        <v>45473.67387731482</v>
      </c>
      <c r="AI314" s="21056" t="s">
        <v>63</v>
      </c>
      <c r="AJ314" s="21053">
        <v>50.6</v>
      </c>
      <c r="AK314" s="21053"/>
      <c r="AL314" s="21054"/>
      <c r="AM314" s="57093">
        <v>45474.67417824074</v>
      </c>
      <c r="AN314" s="21056" t="s">
        <v>63</v>
      </c>
      <c r="AO314" s="57093">
        <v>45657.6743287037</v>
      </c>
      <c r="AP314" s="21056" t="s">
        <v>63</v>
      </c>
      <c r="AQ314" s="21053">
        <v>50.6</v>
      </c>
      <c r="AR314" s="21053"/>
      <c r="AS314" s="21054"/>
      <c r="AT314" s="57093">
        <v>45658.67450231482</v>
      </c>
      <c r="AU314" s="21056" t="s">
        <v>63</v>
      </c>
      <c r="AV314" s="57093">
        <v>45838.67503472222</v>
      </c>
      <c r="AW314" s="21056" t="s">
        <v>63</v>
      </c>
      <c r="AX314" s="21053">
        <v>58.09</v>
      </c>
      <c r="AY314" s="21053"/>
      <c r="AZ314" s="21054"/>
      <c r="BA314" s="57093">
        <v>45839.67539351852</v>
      </c>
      <c r="BB314" s="21056" t="s">
        <v>63</v>
      </c>
      <c r="BC314" s="57093">
        <v>46022.67561342593</v>
      </c>
      <c r="BD314" s="21056" t="s">
        <v>63</v>
      </c>
      <c r="BE314" s="21053">
        <v>58.09</v>
      </c>
      <c r="BF314" s="21053"/>
      <c r="BG314" s="21054"/>
      <c r="BH314" s="57093">
        <v>46023.676099537035</v>
      </c>
      <c r="BI314" s="21056" t="s">
        <v>63</v>
      </c>
      <c r="BJ314" s="57093">
        <v>46203.67630787037</v>
      </c>
      <c r="BK314" s="21056" t="s">
        <v>63</v>
      </c>
      <c r="BL314" s="21053">
        <v>58.24</v>
      </c>
      <c r="BM314" s="21053"/>
      <c r="BN314" s="21054"/>
      <c r="BO314" s="57093">
        <v>46204.6766087963</v>
      </c>
      <c r="BP314" s="21056" t="s">
        <v>63</v>
      </c>
      <c r="BQ314" s="57093">
        <v>46387.676840277774</v>
      </c>
      <c r="BR314" s="21056" t="s">
        <v>63</v>
      </c>
      <c r="BS314" s="21053">
        <v>54.72</v>
      </c>
      <c r="BT314" s="21053"/>
      <c r="BU314" s="21054"/>
      <c r="BV314" s="57093">
        <v>46388.677083333336</v>
      </c>
      <c r="BW314" s="21056" t="s">
        <v>63</v>
      </c>
      <c r="BX314" s="57093">
        <v>46568.67732638889</v>
      </c>
      <c r="BY314" s="21056" t="s">
        <v>63</v>
      </c>
      <c r="BZ314" s="21053">
        <v>54.85</v>
      </c>
      <c r="CA314" s="21053"/>
      <c r="CB314" s="21054"/>
      <c r="CC314" s="57093">
        <v>46569.67759259259</v>
      </c>
      <c r="CD314" s="21056" t="s">
        <v>63</v>
      </c>
      <c r="CE314" s="57093">
        <v>46752.6778125</v>
      </c>
      <c r="CF314" s="21056" t="s">
        <v>63</v>
      </c>
      <c r="CG314" s="21053">
        <v>54.85</v>
      </c>
      <c r="CH314" s="21053"/>
      <c r="CI314" s="21054"/>
      <c r="CJ314" s="57093">
        <v>46753.678148148145</v>
      </c>
      <c r="CK314" s="21056" t="s">
        <v>63</v>
      </c>
      <c r="CL314" s="57093">
        <v>46934.67835648148</v>
      </c>
      <c r="CM314" s="21056" t="s">
        <v>63</v>
      </c>
      <c r="CN314" s="21053">
        <v>58.2</v>
      </c>
      <c r="CO314" s="21053"/>
      <c r="CP314" s="21054"/>
      <c r="CQ314" s="57093">
        <v>46935.67855324074</v>
      </c>
      <c r="CR314" s="21056" t="s">
        <v>63</v>
      </c>
      <c r="CS314" s="57093">
        <v>47118.678981481484</v>
      </c>
      <c r="CT314" s="21056" t="s">
        <v>63</v>
      </c>
      <c r="CU314" s="21653"/>
      <c r="CV314" s="216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14" s="21281">
        <f>STRCHECKDATE(V315:CU315)</f>
      </c>
      <c r="CX314" s="21633"/>
      <c r="CY314" s="21633" t="str">
        <f>IF(T314="","",T314)</f>
        <v/>
      </c>
      <c r="CZ314" s="21633"/>
      <c r="DA314" s="21633"/>
      <c r="DB314" s="21020">
        <v>0</v>
      </c>
    </row>
    <row s="59131" customFormat="1" customHeight="1" ht="14.25">
      <c r="A315" s="21621"/>
      <c r="B315" s="21621"/>
      <c r="C315" s="21621"/>
      <c r="D315" s="21621"/>
      <c r="E315" s="21622"/>
      <c r="F315" s="21622"/>
      <c r="G315" s="21622">
        <v>1</v>
      </c>
      <c r="H315" s="21622"/>
      <c r="I315" s="21647"/>
      <c r="J315" s="21647"/>
      <c r="K315" s="21638"/>
      <c r="L315" s="21624"/>
      <c r="M315" s="21639"/>
      <c r="N315" s="21639"/>
      <c r="O315" s="21639"/>
      <c r="P315" s="21640"/>
      <c r="Q315" s="21640"/>
      <c r="R315" s="21648"/>
      <c r="S315" s="21656"/>
      <c r="T315" s="21631"/>
      <c r="U315" s="21631"/>
      <c r="V315" s="21063"/>
      <c r="W315" s="21063"/>
      <c r="X315" s="21064" t="str">
        <f>Y314&amp;"-"&amp;AA314</f>
        <v>-</v>
      </c>
      <c r="Y315" s="21065"/>
      <c r="Z315" s="21056"/>
      <c r="AA315" s="21065"/>
      <c r="AB315" s="21056"/>
      <c r="AC315" s="21063"/>
      <c r="AD315" s="21063"/>
      <c r="AE315" s="21064" t="str">
        <f>AF314&amp;"-"&amp;AH314</f>
        <v>45292.67298611111-45473.67387731482</v>
      </c>
      <c r="AF315" s="21065"/>
      <c r="AG315" s="21056"/>
      <c r="AH315" s="21324"/>
      <c r="AI315" s="21056"/>
      <c r="AJ315" s="21063"/>
      <c r="AK315" s="21063"/>
      <c r="AL315" s="21064" t="str">
        <f>AM314&amp;"-"&amp;AO314</f>
        <v>45474.67417824074-45657.6743287037</v>
      </c>
      <c r="AM315" s="21065"/>
      <c r="AN315" s="21056"/>
      <c r="AO315" s="21065"/>
      <c r="AP315" s="21056"/>
      <c r="AQ315" s="21063"/>
      <c r="AR315" s="21063"/>
      <c r="AS315" s="21064" t="str">
        <f>AT314&amp;"-"&amp;AV314</f>
        <v>45658.67450231482-45838.67503472222</v>
      </c>
      <c r="AT315" s="21065"/>
      <c r="AU315" s="21056"/>
      <c r="AV315" s="21065"/>
      <c r="AW315" s="21056"/>
      <c r="AX315" s="21063"/>
      <c r="AY315" s="21063"/>
      <c r="AZ315" s="21064" t="str">
        <f>BA314&amp;"-"&amp;BC314</f>
        <v>45839.67539351852-46022.67561342593</v>
      </c>
      <c r="BA315" s="21065"/>
      <c r="BB315" s="21056"/>
      <c r="BC315" s="21065"/>
      <c r="BD315" s="21056"/>
      <c r="BE315" s="21063"/>
      <c r="BF315" s="21063"/>
      <c r="BG315" s="21064" t="str">
        <f>BH314&amp;"-"&amp;BJ314</f>
        <v>46023.676099537035-46203.67630787037</v>
      </c>
      <c r="BH315" s="21065"/>
      <c r="BI315" s="21056"/>
      <c r="BJ315" s="21065"/>
      <c r="BK315" s="21056"/>
      <c r="BL315" s="21063"/>
      <c r="BM315" s="21063"/>
      <c r="BN315" s="21064" t="str">
        <f>BO314&amp;"-"&amp;BQ314</f>
        <v>46204.6766087963-46387.676840277774</v>
      </c>
      <c r="BO315" s="21065"/>
      <c r="BP315" s="21056"/>
      <c r="BQ315" s="21065"/>
      <c r="BR315" s="21056"/>
      <c r="BS315" s="21063"/>
      <c r="BT315" s="21063"/>
      <c r="BU315" s="21064" t="str">
        <f>BV314&amp;"-"&amp;BX314</f>
        <v>46388.677083333336-46568.67732638889</v>
      </c>
      <c r="BV315" s="21065"/>
      <c r="BW315" s="21056"/>
      <c r="BX315" s="21065"/>
      <c r="BY315" s="21056"/>
      <c r="BZ315" s="21063"/>
      <c r="CA315" s="21063"/>
      <c r="CB315" s="21064" t="str">
        <f>CC314&amp;"-"&amp;CE314</f>
        <v>46569.67759259259-46752.6778125</v>
      </c>
      <c r="CC315" s="21065"/>
      <c r="CD315" s="21056"/>
      <c r="CE315" s="21065"/>
      <c r="CF315" s="21056"/>
      <c r="CG315" s="21063"/>
      <c r="CH315" s="21063"/>
      <c r="CI315" s="21064" t="str">
        <f>CJ314&amp;"-"&amp;CL314</f>
        <v>46753.678148148145-46934.67835648148</v>
      </c>
      <c r="CJ315" s="21065"/>
      <c r="CK315" s="21056"/>
      <c r="CL315" s="21065"/>
      <c r="CM315" s="21056"/>
      <c r="CN315" s="21063"/>
      <c r="CO315" s="21063"/>
      <c r="CP315" s="21064" t="str">
        <f>CQ314&amp;"-"&amp;CS314</f>
        <v>46935.67855324074-47118.678981481484</v>
      </c>
      <c r="CQ315" s="21065"/>
      <c r="CR315" s="21056"/>
      <c r="CS315" s="21065"/>
      <c r="CT315" s="21056"/>
      <c r="CU315" s="21657"/>
      <c r="CV315" s="21654"/>
      <c r="CW315" s="21281"/>
      <c r="CX315" s="21633"/>
      <c r="CY315" s="21633" t="str">
        <f>IF(T315="","",T315)</f>
        <v/>
      </c>
      <c r="CZ315" s="21633"/>
      <c r="DA315" s="21633"/>
      <c r="DB315" s="21020">
        <v>0</v>
      </c>
    </row>
    <row s="59132" customFormat="1" customHeight="1" ht="21">
      <c r="A316" s="21621"/>
      <c r="B316" s="21621"/>
      <c r="C316" s="21621"/>
      <c r="D316" s="21621"/>
      <c r="E316" s="21622"/>
      <c r="F316" s="21622"/>
      <c r="G316" s="21622">
        <v>1</v>
      </c>
      <c r="H316" s="21622"/>
      <c r="I316" s="21647"/>
      <c r="J316" s="21638"/>
      <c r="K316" s="21621"/>
      <c r="L316" s="21624"/>
      <c r="M316" s="21639"/>
      <c r="N316" s="21639"/>
      <c r="O316" s="21639"/>
      <c r="P316" s="21640"/>
      <c r="Q316" s="21640"/>
      <c r="R316" s="21641"/>
      <c r="S316" s="27266"/>
      <c r="T316" s="27267" t="s">
        <v>622</v>
      </c>
      <c r="U316" s="27268"/>
      <c r="V316" s="27269"/>
      <c r="W316" s="27270"/>
      <c r="X316" s="27271"/>
      <c r="Y316" s="27272"/>
      <c r="Z316" s="27273"/>
      <c r="AA316" s="27274"/>
      <c r="AB316" s="27275"/>
      <c r="AC316" s="27276"/>
      <c r="AD316" s="27277"/>
      <c r="AE316" s="27278"/>
      <c r="AF316" s="27279"/>
      <c r="AG316" s="27280"/>
      <c r="AH316" s="27281"/>
      <c r="AI316" s="27282"/>
      <c r="AJ316" s="27283"/>
      <c r="AK316" s="27284"/>
      <c r="AL316" s="27285"/>
      <c r="AM316" s="27286"/>
      <c r="AN316" s="27287"/>
      <c r="AO316" s="27288"/>
      <c r="AP316" s="27289"/>
      <c r="AQ316" s="27290"/>
      <c r="AR316" s="27291"/>
      <c r="AS316" s="27292"/>
      <c r="AT316" s="27293"/>
      <c r="AU316" s="27294"/>
      <c r="AV316" s="27295"/>
      <c r="AW316" s="27296"/>
      <c r="AX316" s="27297"/>
      <c r="AY316" s="27298"/>
      <c r="AZ316" s="27299"/>
      <c r="BA316" s="27300"/>
      <c r="BB316" s="27301"/>
      <c r="BC316" s="27302"/>
      <c r="BD316" s="27303"/>
      <c r="BE316" s="27304"/>
      <c r="BF316" s="27305"/>
      <c r="BG316" s="27306"/>
      <c r="BH316" s="27307"/>
      <c r="BI316" s="27308"/>
      <c r="BJ316" s="27309"/>
      <c r="BK316" s="27310"/>
      <c r="BL316" s="27311"/>
      <c r="BM316" s="27312"/>
      <c r="BN316" s="27313"/>
      <c r="BO316" s="27314"/>
      <c r="BP316" s="27315"/>
      <c r="BQ316" s="27316"/>
      <c r="BR316" s="27317"/>
      <c r="BS316" s="27318"/>
      <c r="BT316" s="27319"/>
      <c r="BU316" s="27320"/>
      <c r="BV316" s="27321"/>
      <c r="BW316" s="27322"/>
      <c r="BX316" s="27323"/>
      <c r="BY316" s="27324"/>
      <c r="BZ316" s="27325"/>
      <c r="CA316" s="27326"/>
      <c r="CB316" s="27327"/>
      <c r="CC316" s="27328"/>
      <c r="CD316" s="27329"/>
      <c r="CE316" s="27330"/>
      <c r="CF316" s="27331"/>
      <c r="CG316" s="27332"/>
      <c r="CH316" s="27333"/>
      <c r="CI316" s="27334"/>
      <c r="CJ316" s="27335"/>
      <c r="CK316" s="27336"/>
      <c r="CL316" s="27337"/>
      <c r="CM316" s="27338"/>
      <c r="CN316" s="27339"/>
      <c r="CO316" s="27340"/>
      <c r="CP316" s="27341"/>
      <c r="CQ316" s="27342"/>
      <c r="CR316" s="27343"/>
      <c r="CS316" s="27344"/>
      <c r="CT316" s="27345"/>
      <c r="CU316" s="27346"/>
      <c r="CV316" s="21632" t="s">
        <v>623</v>
      </c>
      <c r="CW316" s="21281"/>
      <c r="CX316" s="21633"/>
      <c r="CY316" s="21633" t="str">
        <f>IF(T316="","",T316)</f>
        <v>Добавить значение признака дифференциации</v>
      </c>
      <c r="CZ316" s="21633"/>
      <c r="DA316" s="21633"/>
      <c r="DB316" s="21020">
        <v>0</v>
      </c>
    </row>
    <row s="59214" customFormat="1" customHeight="1" ht="23.25">
      <c r="A317" s="33106"/>
      <c r="B317" s="33106"/>
      <c r="C317" s="33106"/>
      <c r="D317" s="33106"/>
      <c r="E317" s="33107"/>
      <c r="F317" s="33107"/>
      <c r="G317" s="33107"/>
      <c r="H317" s="33107"/>
      <c r="I317" s="33108"/>
      <c r="J317" s="33109" t="str">
        <f>I312&amp;".2"</f>
        <v>1.15.2.1.2</v>
      </c>
      <c r="K317" s="33106"/>
      <c r="L317" s="33110" t="s">
        <v>545</v>
      </c>
      <c r="M317" s="33111"/>
      <c r="N317" s="33111"/>
      <c r="O317" s="33111"/>
      <c r="P317" s="33112"/>
      <c r="Q317" s="33113" t="s">
        <v>106</v>
      </c>
      <c r="R317" s="33114"/>
      <c r="S317" s="33115" t="str">
        <f>$J317</f>
        <v>1.15.2.1.2</v>
      </c>
      <c r="T317" s="33116" t="s">
        <v>546</v>
      </c>
      <c r="U317" s="33117"/>
      <c r="V317" s="33118"/>
      <c r="W317" s="33119"/>
      <c r="X317" s="33119"/>
      <c r="Y317" s="33119"/>
      <c r="Z317" s="33119"/>
      <c r="AA317" s="33119"/>
      <c r="AB317" s="33120"/>
      <c r="AC317" s="33118" t="s">
        <v>633</v>
      </c>
      <c r="AD317" s="33119"/>
      <c r="AE317" s="33119"/>
      <c r="AF317" s="33119"/>
      <c r="AG317" s="33119"/>
      <c r="AH317" s="33119"/>
      <c r="AI317" s="33119"/>
      <c r="AJ317" s="33118"/>
      <c r="AK317" s="33119"/>
      <c r="AL317" s="33119"/>
      <c r="AM317" s="33119"/>
      <c r="AN317" s="33119"/>
      <c r="AO317" s="33119"/>
      <c r="AP317" s="33120"/>
      <c r="AQ317" s="33118"/>
      <c r="AR317" s="33119"/>
      <c r="AS317" s="33119"/>
      <c r="AT317" s="33119"/>
      <c r="AU317" s="33119"/>
      <c r="AV317" s="33119"/>
      <c r="AW317" s="33120"/>
      <c r="AX317" s="33118"/>
      <c r="AY317" s="33119"/>
      <c r="AZ317" s="33119"/>
      <c r="BA317" s="33119"/>
      <c r="BB317" s="33119"/>
      <c r="BC317" s="33119"/>
      <c r="BD317" s="33120"/>
      <c r="BE317" s="33118"/>
      <c r="BF317" s="33119"/>
      <c r="BG317" s="33119"/>
      <c r="BH317" s="33119"/>
      <c r="BI317" s="33119"/>
      <c r="BJ317" s="33119"/>
      <c r="BK317" s="33120"/>
      <c r="BL317" s="33118"/>
      <c r="BM317" s="33119"/>
      <c r="BN317" s="33119"/>
      <c r="BO317" s="33119"/>
      <c r="BP317" s="33119"/>
      <c r="BQ317" s="33119"/>
      <c r="BR317" s="33120"/>
      <c r="BS317" s="33118"/>
      <c r="BT317" s="33119"/>
      <c r="BU317" s="33119"/>
      <c r="BV317" s="33119"/>
      <c r="BW317" s="33119"/>
      <c r="BX317" s="33119"/>
      <c r="BY317" s="33120"/>
      <c r="BZ317" s="33118"/>
      <c r="CA317" s="33119"/>
      <c r="CB317" s="33119"/>
      <c r="CC317" s="33119"/>
      <c r="CD317" s="33119"/>
      <c r="CE317" s="33119"/>
      <c r="CF317" s="33120"/>
      <c r="CG317" s="33118"/>
      <c r="CH317" s="33119"/>
      <c r="CI317" s="33119"/>
      <c r="CJ317" s="33119"/>
      <c r="CK317" s="33119"/>
      <c r="CL317" s="33119"/>
      <c r="CM317" s="33120"/>
      <c r="CN317" s="33118"/>
      <c r="CO317" s="33119"/>
      <c r="CP317" s="33119"/>
      <c r="CQ317" s="33119"/>
      <c r="CR317" s="33119"/>
      <c r="CS317" s="33119"/>
      <c r="CT317" s="33121"/>
      <c r="CU317" s="33120"/>
      <c r="CV317" s="33122" t="s">
        <v>621</v>
      </c>
      <c r="CW317" s="33123"/>
      <c r="CX317" s="33124"/>
      <c r="CY317" s="33124" t="str">
        <f>IF(T317="","",T317)</f>
        <v>Группа потребителей</v>
      </c>
      <c r="CZ317" s="33124"/>
      <c r="DA317" s="33124"/>
      <c r="DB317" s="33125">
        <v>0</v>
      </c>
    </row>
    <row s="59215" customFormat="1" customHeight="1" ht="23.25">
      <c r="A318" s="33106"/>
      <c r="B318" s="33106"/>
      <c r="C318" s="33106"/>
      <c r="D318" s="33106"/>
      <c r="E318" s="33107"/>
      <c r="F318" s="33107"/>
      <c r="G318" s="33107"/>
      <c r="H318" s="33107"/>
      <c r="I318" s="33108"/>
      <c r="J318" s="33108" t="str">
        <f>I312&amp;".1"</f>
        <v>1.15.2.1.1</v>
      </c>
      <c r="K318" s="33109" t="str">
        <f>J317&amp;".1"</f>
        <v>1.15.2.1.2.1</v>
      </c>
      <c r="L318" s="33110"/>
      <c r="M318" s="33111"/>
      <c r="N318" s="33111"/>
      <c r="O318" s="33111"/>
      <c r="P318" s="33112"/>
      <c r="Q318" s="33112"/>
      <c r="R318" s="33114">
        <v>1</v>
      </c>
      <c r="S318" s="33115" t="str">
        <f>$K318</f>
        <v>1.15.2.1.2.1</v>
      </c>
      <c r="T318" s="33127"/>
      <c r="U318" s="33117"/>
      <c r="V318" s="33128"/>
      <c r="W318" s="33128"/>
      <c r="X318" s="33129"/>
      <c r="Y318" s="33020"/>
      <c r="Z318" s="33130" t="s">
        <v>63</v>
      </c>
      <c r="AA318" s="33020"/>
      <c r="AB318" s="33130" t="s">
        <v>63</v>
      </c>
      <c r="AC318" s="33128">
        <v>32.44</v>
      </c>
      <c r="AD318" s="33128"/>
      <c r="AE318" s="33129"/>
      <c r="AF318" s="57093">
        <v>45292.67306712963</v>
      </c>
      <c r="AG318" s="33130" t="s">
        <v>63</v>
      </c>
      <c r="AH318" s="57094">
        <v>45473.67395833333</v>
      </c>
      <c r="AI318" s="33130" t="s">
        <v>63</v>
      </c>
      <c r="AJ318" s="33128">
        <v>42.17</v>
      </c>
      <c r="AK318" s="33128"/>
      <c r="AL318" s="33129"/>
      <c r="AM318" s="57093">
        <v>45474.674259259256</v>
      </c>
      <c r="AN318" s="33130" t="s">
        <v>63</v>
      </c>
      <c r="AO318" s="57093">
        <v>45657.674375</v>
      </c>
      <c r="AP318" s="33130" t="s">
        <v>63</v>
      </c>
      <c r="AQ318" s="33128">
        <v>42.17</v>
      </c>
      <c r="AR318" s="33128"/>
      <c r="AS318" s="33129"/>
      <c r="AT318" s="57093">
        <v>45658.67490740741</v>
      </c>
      <c r="AU318" s="33130" t="s">
        <v>63</v>
      </c>
      <c r="AV318" s="57093">
        <v>45838.675150462965</v>
      </c>
      <c r="AW318" s="33130" t="s">
        <v>63</v>
      </c>
      <c r="AX318" s="33128">
        <v>48.41</v>
      </c>
      <c r="AY318" s="33128"/>
      <c r="AZ318" s="33129"/>
      <c r="BA318" s="57093">
        <v>45839.67549768519</v>
      </c>
      <c r="BB318" s="33130" t="s">
        <v>63</v>
      </c>
      <c r="BC318" s="57093">
        <v>46022.67582175926</v>
      </c>
      <c r="BD318" s="33130" t="s">
        <v>63</v>
      </c>
      <c r="BE318" s="33128">
        <v>48.41</v>
      </c>
      <c r="BF318" s="33128"/>
      <c r="BG318" s="33129"/>
      <c r="BH318" s="57093">
        <v>46023.67621527778</v>
      </c>
      <c r="BI318" s="33130" t="s">
        <v>63</v>
      </c>
      <c r="BJ318" s="57093">
        <v>46203.676458333335</v>
      </c>
      <c r="BK318" s="33130" t="s">
        <v>63</v>
      </c>
      <c r="BL318" s="33128">
        <v>48.53</v>
      </c>
      <c r="BM318" s="33128"/>
      <c r="BN318" s="33129"/>
      <c r="BO318" s="57093">
        <v>46204.67675925926</v>
      </c>
      <c r="BP318" s="33130" t="s">
        <v>63</v>
      </c>
      <c r="BQ318" s="57093">
        <v>46387.6769212963</v>
      </c>
      <c r="BR318" s="33130" t="s">
        <v>63</v>
      </c>
      <c r="BS318" s="33128">
        <v>45.6</v>
      </c>
      <c r="BT318" s="33128"/>
      <c r="BU318" s="33129"/>
      <c r="BV318" s="57093">
        <v>46388.67717592593</v>
      </c>
      <c r="BW318" s="33130" t="s">
        <v>63</v>
      </c>
      <c r="BX318" s="57093">
        <v>46568.67744212963</v>
      </c>
      <c r="BY318" s="33130" t="s">
        <v>63</v>
      </c>
      <c r="BZ318" s="33128">
        <v>45.71</v>
      </c>
      <c r="CA318" s="33128"/>
      <c r="CB318" s="33129"/>
      <c r="CC318" s="57093">
        <v>46569.677708333336</v>
      </c>
      <c r="CD318" s="33130" t="s">
        <v>63</v>
      </c>
      <c r="CE318" s="57093">
        <v>46752.67789351852</v>
      </c>
      <c r="CF318" s="33130" t="s">
        <v>63</v>
      </c>
      <c r="CG318" s="33128">
        <v>45.71</v>
      </c>
      <c r="CH318" s="33128"/>
      <c r="CI318" s="33129"/>
      <c r="CJ318" s="57093">
        <v>46753.67827546296</v>
      </c>
      <c r="CK318" s="33130" t="s">
        <v>63</v>
      </c>
      <c r="CL318" s="57093">
        <v>46934.678449074076</v>
      </c>
      <c r="CM318" s="33130" t="s">
        <v>63</v>
      </c>
      <c r="CN318" s="33128">
        <v>48.5</v>
      </c>
      <c r="CO318" s="33128"/>
      <c r="CP318" s="33129"/>
      <c r="CQ318" s="57093">
        <v>43282.67890046296</v>
      </c>
      <c r="CR318" s="33130" t="s">
        <v>63</v>
      </c>
      <c r="CS318" s="57093">
        <v>47118.67905092592</v>
      </c>
      <c r="CT318" s="33131" t="s">
        <v>63</v>
      </c>
      <c r="CU318" s="33132"/>
      <c r="CV318" s="331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18" s="33123">
        <f>STRCHECKDATE(V319:CU319)</f>
      </c>
      <c r="CX318" s="33124"/>
      <c r="CY318" s="33124" t="str">
        <f>IF(T318="","",T318)</f>
        <v/>
      </c>
      <c r="CZ318" s="33124"/>
      <c r="DA318" s="33124"/>
      <c r="DB318" s="33125">
        <v>0</v>
      </c>
    </row>
    <row s="59216" customFormat="1" customHeight="1" ht="14.25">
      <c r="A319" s="33106"/>
      <c r="B319" s="33106"/>
      <c r="C319" s="33106"/>
      <c r="D319" s="33106"/>
      <c r="E319" s="33107"/>
      <c r="F319" s="33107"/>
      <c r="G319" s="33107"/>
      <c r="H319" s="33107"/>
      <c r="I319" s="33108"/>
      <c r="J319" s="33108" t="str">
        <f>I312&amp;".1"</f>
        <v>1.15.2.1.1</v>
      </c>
      <c r="K319" s="33109"/>
      <c r="L319" s="33110"/>
      <c r="M319" s="33111"/>
      <c r="N319" s="33111"/>
      <c r="O319" s="33111"/>
      <c r="P319" s="33112"/>
      <c r="Q319" s="33112"/>
      <c r="R319" s="33114"/>
      <c r="S319" s="33135"/>
      <c r="T319" s="33117"/>
      <c r="U319" s="33117"/>
      <c r="V319" s="33136"/>
      <c r="W319" s="33136"/>
      <c r="X319" s="33137" t="str">
        <f>Y318&amp;"-"&amp;AA318</f>
        <v>-</v>
      </c>
      <c r="Y319" s="33138"/>
      <c r="Z319" s="33130"/>
      <c r="AA319" s="33138"/>
      <c r="AB319" s="33130"/>
      <c r="AC319" s="33136"/>
      <c r="AD319" s="33136"/>
      <c r="AE319" s="33137" t="str">
        <f>AF318&amp;"-"&amp;AH318</f>
        <v>45292.67306712963-45473.67395833333</v>
      </c>
      <c r="AF319" s="33138"/>
      <c r="AG319" s="33130"/>
      <c r="AH319" s="33139"/>
      <c r="AI319" s="33130"/>
      <c r="AJ319" s="33136"/>
      <c r="AK319" s="33136"/>
      <c r="AL319" s="33137" t="str">
        <f>AM318&amp;"-"&amp;AO318</f>
        <v>45474.674259259256-45657.674375</v>
      </c>
      <c r="AM319" s="33138"/>
      <c r="AN319" s="33130"/>
      <c r="AO319" s="33138"/>
      <c r="AP319" s="33130"/>
      <c r="AQ319" s="33136"/>
      <c r="AR319" s="33136"/>
      <c r="AS319" s="33137" t="str">
        <f>AT318&amp;"-"&amp;AV318</f>
        <v>45658.67490740741-45838.675150462965</v>
      </c>
      <c r="AT319" s="33138"/>
      <c r="AU319" s="33130"/>
      <c r="AV319" s="33138"/>
      <c r="AW319" s="33130"/>
      <c r="AX319" s="33136"/>
      <c r="AY319" s="33136"/>
      <c r="AZ319" s="33137" t="str">
        <f>BA318&amp;"-"&amp;BC318</f>
        <v>45839.67549768519-46022.67582175926</v>
      </c>
      <c r="BA319" s="33138"/>
      <c r="BB319" s="33130"/>
      <c r="BC319" s="33138"/>
      <c r="BD319" s="33130"/>
      <c r="BE319" s="33136"/>
      <c r="BF319" s="33136"/>
      <c r="BG319" s="33137" t="str">
        <f>BH318&amp;"-"&amp;BJ318</f>
        <v>46023.67621527778-46203.676458333335</v>
      </c>
      <c r="BH319" s="33138"/>
      <c r="BI319" s="33130"/>
      <c r="BJ319" s="33138"/>
      <c r="BK319" s="33130"/>
      <c r="BL319" s="33136"/>
      <c r="BM319" s="33136"/>
      <c r="BN319" s="33137" t="str">
        <f>BO318&amp;"-"&amp;BQ318</f>
        <v>46204.67675925926-46387.6769212963</v>
      </c>
      <c r="BO319" s="33138"/>
      <c r="BP319" s="33130"/>
      <c r="BQ319" s="33138"/>
      <c r="BR319" s="33130"/>
      <c r="BS319" s="33136"/>
      <c r="BT319" s="33136"/>
      <c r="BU319" s="33137" t="str">
        <f>BV318&amp;"-"&amp;BX318</f>
        <v>46388.67717592593-46568.67744212963</v>
      </c>
      <c r="BV319" s="33138"/>
      <c r="BW319" s="33130"/>
      <c r="BX319" s="33138"/>
      <c r="BY319" s="33130"/>
      <c r="BZ319" s="33136"/>
      <c r="CA319" s="33136"/>
      <c r="CB319" s="33137" t="str">
        <f>CC318&amp;"-"&amp;CE318</f>
        <v>46569.677708333336-46752.67789351852</v>
      </c>
      <c r="CC319" s="33138"/>
      <c r="CD319" s="33130"/>
      <c r="CE319" s="33138"/>
      <c r="CF319" s="33130"/>
      <c r="CG319" s="33136"/>
      <c r="CH319" s="33136"/>
      <c r="CI319" s="33137" t="str">
        <f>CJ318&amp;"-"&amp;CL318</f>
        <v>46753.67827546296-46934.678449074076</v>
      </c>
      <c r="CJ319" s="33138"/>
      <c r="CK319" s="33130"/>
      <c r="CL319" s="33138"/>
      <c r="CM319" s="33130"/>
      <c r="CN319" s="33136"/>
      <c r="CO319" s="33136"/>
      <c r="CP319" s="33137" t="str">
        <f>CQ318&amp;"-"&amp;CS318</f>
        <v>43282.67890046296-47118.67905092592</v>
      </c>
      <c r="CQ319" s="33138"/>
      <c r="CR319" s="33130"/>
      <c r="CS319" s="33138"/>
      <c r="CT319" s="33131"/>
      <c r="CU319" s="33140"/>
      <c r="CV319" s="33133"/>
      <c r="CW319" s="33123"/>
      <c r="CX319" s="33124"/>
      <c r="CY319" s="33124" t="str">
        <f>IF(T319="","",T319)</f>
        <v/>
      </c>
      <c r="CZ319" s="33124"/>
      <c r="DA319" s="33124"/>
      <c r="DB319" s="33125">
        <v>0</v>
      </c>
    </row>
    <row s="59217" customFormat="1" customHeight="1" ht="21">
      <c r="A320" s="33106"/>
      <c r="B320" s="33106"/>
      <c r="C320" s="33106"/>
      <c r="D320" s="33106"/>
      <c r="E320" s="33107"/>
      <c r="F320" s="33107"/>
      <c r="G320" s="33107"/>
      <c r="H320" s="33107"/>
      <c r="I320" s="33108"/>
      <c r="J320" s="33109" t="str">
        <f>I312&amp;".1"</f>
        <v>1.15.2.1.1</v>
      </c>
      <c r="K320" s="33106"/>
      <c r="L320" s="33110"/>
      <c r="M320" s="33111"/>
      <c r="N320" s="33111"/>
      <c r="O320" s="33111"/>
      <c r="P320" s="33112"/>
      <c r="Q320" s="33112"/>
      <c r="R320" s="33142"/>
      <c r="S320" s="38066"/>
      <c r="T320" s="38067" t="s">
        <v>622</v>
      </c>
      <c r="U320" s="38068"/>
      <c r="V320" s="38069"/>
      <c r="W320" s="38070"/>
      <c r="X320" s="38071"/>
      <c r="Y320" s="38072"/>
      <c r="Z320" s="38073"/>
      <c r="AA320" s="38074"/>
      <c r="AB320" s="38075"/>
      <c r="AC320" s="38076"/>
      <c r="AD320" s="38077"/>
      <c r="AE320" s="38078"/>
      <c r="AF320" s="38079"/>
      <c r="AG320" s="38080"/>
      <c r="AH320" s="38081"/>
      <c r="AI320" s="38082"/>
      <c r="AJ320" s="38083"/>
      <c r="AK320" s="38084"/>
      <c r="AL320" s="38085"/>
      <c r="AM320" s="38086"/>
      <c r="AN320" s="38087"/>
      <c r="AO320" s="38088"/>
      <c r="AP320" s="38089"/>
      <c r="AQ320" s="38090"/>
      <c r="AR320" s="38091"/>
      <c r="AS320" s="38092"/>
      <c r="AT320" s="38093"/>
      <c r="AU320" s="38094"/>
      <c r="AV320" s="38095"/>
      <c r="AW320" s="38096"/>
      <c r="AX320" s="38097"/>
      <c r="AY320" s="38098"/>
      <c r="AZ320" s="38099"/>
      <c r="BA320" s="38100"/>
      <c r="BB320" s="38101"/>
      <c r="BC320" s="38102"/>
      <c r="BD320" s="38103"/>
      <c r="BE320" s="38104"/>
      <c r="BF320" s="38105"/>
      <c r="BG320" s="38106"/>
      <c r="BH320" s="38107"/>
      <c r="BI320" s="38108"/>
      <c r="BJ320" s="38109"/>
      <c r="BK320" s="38110"/>
      <c r="BL320" s="38111"/>
      <c r="BM320" s="38112"/>
      <c r="BN320" s="38113"/>
      <c r="BO320" s="38114"/>
      <c r="BP320" s="38115"/>
      <c r="BQ320" s="38116"/>
      <c r="BR320" s="38117"/>
      <c r="BS320" s="38118"/>
      <c r="BT320" s="38119"/>
      <c r="BU320" s="38120"/>
      <c r="BV320" s="38121"/>
      <c r="BW320" s="38122"/>
      <c r="BX320" s="38123"/>
      <c r="BY320" s="38124"/>
      <c r="BZ320" s="38125"/>
      <c r="CA320" s="38126"/>
      <c r="CB320" s="38127"/>
      <c r="CC320" s="38128"/>
      <c r="CD320" s="38129"/>
      <c r="CE320" s="38130"/>
      <c r="CF320" s="38131"/>
      <c r="CG320" s="38132"/>
      <c r="CH320" s="38133"/>
      <c r="CI320" s="38134"/>
      <c r="CJ320" s="38135"/>
      <c r="CK320" s="38136"/>
      <c r="CL320" s="38137"/>
      <c r="CM320" s="38138"/>
      <c r="CN320" s="38139"/>
      <c r="CO320" s="38140"/>
      <c r="CP320" s="38141"/>
      <c r="CQ320" s="38142"/>
      <c r="CR320" s="38143"/>
      <c r="CS320" s="38144"/>
      <c r="CT320" s="38145"/>
      <c r="CU320" s="38146"/>
      <c r="CV320" s="33224" t="s">
        <v>623</v>
      </c>
      <c r="CW320" s="33123"/>
      <c r="CX320" s="33124"/>
      <c r="CY320" s="33124" t="str">
        <f>IF(T320="","",T320)</f>
        <v>Добавить значение признака дифференциации</v>
      </c>
      <c r="CZ320" s="33124"/>
      <c r="DA320" s="33124"/>
      <c r="DB320" s="33125">
        <v>0</v>
      </c>
    </row>
    <row s="59299" customFormat="1" customHeight="1" ht="21">
      <c r="A321" s="21621"/>
      <c r="B321" s="21621"/>
      <c r="C321" s="21621"/>
      <c r="D321" s="21621"/>
      <c r="E321" s="21622"/>
      <c r="F321" s="21622"/>
      <c r="G321" s="21622">
        <v>1</v>
      </c>
      <c r="H321" s="21622"/>
      <c r="I321" s="21638"/>
      <c r="J321" s="21621"/>
      <c r="K321" s="21621"/>
      <c r="L321" s="21624"/>
      <c r="M321" s="21639"/>
      <c r="N321" s="21639"/>
      <c r="O321" s="21639"/>
      <c r="P321" s="21640"/>
      <c r="Q321" s="21640"/>
      <c r="R321" s="21641"/>
      <c r="S321" s="27348"/>
      <c r="T321" s="27349" t="s">
        <v>551</v>
      </c>
      <c r="U321" s="27350"/>
      <c r="V321" s="27351"/>
      <c r="W321" s="27352"/>
      <c r="X321" s="27353"/>
      <c r="Y321" s="27354"/>
      <c r="Z321" s="27355"/>
      <c r="AA321" s="27356"/>
      <c r="AB321" s="27357"/>
      <c r="AC321" s="27358"/>
      <c r="AD321" s="27359"/>
      <c r="AE321" s="27360"/>
      <c r="AF321" s="27361"/>
      <c r="AG321" s="27362"/>
      <c r="AH321" s="27363"/>
      <c r="AI321" s="27364"/>
      <c r="AJ321" s="27365"/>
      <c r="AK321" s="27366"/>
      <c r="AL321" s="27367"/>
      <c r="AM321" s="27368"/>
      <c r="AN321" s="27369"/>
      <c r="AO321" s="27370"/>
      <c r="AP321" s="27371"/>
      <c r="AQ321" s="27372"/>
      <c r="AR321" s="27373"/>
      <c r="AS321" s="27374"/>
      <c r="AT321" s="27375"/>
      <c r="AU321" s="27376"/>
      <c r="AV321" s="27377"/>
      <c r="AW321" s="27378"/>
      <c r="AX321" s="27379"/>
      <c r="AY321" s="27380"/>
      <c r="AZ321" s="27381"/>
      <c r="BA321" s="27382"/>
      <c r="BB321" s="27383"/>
      <c r="BC321" s="27384"/>
      <c r="BD321" s="27385"/>
      <c r="BE321" s="27386"/>
      <c r="BF321" s="27387"/>
      <c r="BG321" s="27388"/>
      <c r="BH321" s="27389"/>
      <c r="BI321" s="27390"/>
      <c r="BJ321" s="27391"/>
      <c r="BK321" s="27392"/>
      <c r="BL321" s="27393"/>
      <c r="BM321" s="27394"/>
      <c r="BN321" s="27395"/>
      <c r="BO321" s="27396"/>
      <c r="BP321" s="27397"/>
      <c r="BQ321" s="27398"/>
      <c r="BR321" s="27399"/>
      <c r="BS321" s="27400"/>
      <c r="BT321" s="27401"/>
      <c r="BU321" s="27402"/>
      <c r="BV321" s="27403"/>
      <c r="BW321" s="27404"/>
      <c r="BX321" s="27405"/>
      <c r="BY321" s="27406"/>
      <c r="BZ321" s="27407"/>
      <c r="CA321" s="27408"/>
      <c r="CB321" s="27409"/>
      <c r="CC321" s="27410"/>
      <c r="CD321" s="27411"/>
      <c r="CE321" s="27412"/>
      <c r="CF321" s="27413"/>
      <c r="CG321" s="27414"/>
      <c r="CH321" s="27415"/>
      <c r="CI321" s="27416"/>
      <c r="CJ321" s="27417"/>
      <c r="CK321" s="27418"/>
      <c r="CL321" s="27419"/>
      <c r="CM321" s="27420"/>
      <c r="CN321" s="27421"/>
      <c r="CO321" s="27422"/>
      <c r="CP321" s="27423"/>
      <c r="CQ321" s="27424"/>
      <c r="CR321" s="27425"/>
      <c r="CS321" s="27426"/>
      <c r="CT321" s="27427"/>
      <c r="CU321" s="27428"/>
      <c r="CV321" s="27429"/>
      <c r="CW321" s="21281"/>
      <c r="CX321" s="21633"/>
      <c r="CY321" s="21633" t="str">
        <f>IF(T321="","",T321)</f>
        <v>Добавить группу потребителей</v>
      </c>
      <c r="CZ321" s="21633"/>
      <c r="DA321" s="21633"/>
      <c r="DB321" s="21020">
        <v>0</v>
      </c>
    </row>
    <row s="59382" customFormat="1" customHeight="1" ht="14.25">
      <c r="A322" s="21621"/>
      <c r="B322" s="21621"/>
      <c r="C322" s="21621"/>
      <c r="D322" s="21621"/>
      <c r="E322" s="21622"/>
      <c r="F322" s="21622"/>
      <c r="G322" s="21622">
        <v>1</v>
      </c>
      <c r="H322" s="21623"/>
      <c r="I322" s="21621"/>
      <c r="J322" s="21621"/>
      <c r="K322" s="21621"/>
      <c r="L322" s="21624"/>
      <c r="M322" s="21625"/>
      <c r="N322" s="21625"/>
      <c r="O322" s="21264"/>
      <c r="P322" s="21910"/>
      <c r="Q322" s="21911"/>
      <c r="R322" s="21912"/>
      <c r="S322" s="27431"/>
      <c r="T322" s="27432" t="s">
        <v>624</v>
      </c>
      <c r="U322" s="27433"/>
      <c r="V322" s="27434"/>
      <c r="W322" s="27435"/>
      <c r="X322" s="27436"/>
      <c r="Y322" s="27437"/>
      <c r="Z322" s="27438"/>
      <c r="AA322" s="27439"/>
      <c r="AB322" s="27440"/>
      <c r="AC322" s="27441"/>
      <c r="AD322" s="27442"/>
      <c r="AE322" s="27443"/>
      <c r="AF322" s="27444"/>
      <c r="AG322" s="27445"/>
      <c r="AH322" s="27446"/>
      <c r="AI322" s="27447"/>
      <c r="AJ322" s="27448"/>
      <c r="AK322" s="27449"/>
      <c r="AL322" s="27450"/>
      <c r="AM322" s="27451"/>
      <c r="AN322" s="27452"/>
      <c r="AO322" s="27453"/>
      <c r="AP322" s="27454"/>
      <c r="AQ322" s="27455"/>
      <c r="AR322" s="27456"/>
      <c r="AS322" s="27457"/>
      <c r="AT322" s="27458"/>
      <c r="AU322" s="27459"/>
      <c r="AV322" s="27460"/>
      <c r="AW322" s="27461"/>
      <c r="AX322" s="27462"/>
      <c r="AY322" s="27463"/>
      <c r="AZ322" s="27464"/>
      <c r="BA322" s="27465"/>
      <c r="BB322" s="27466"/>
      <c r="BC322" s="27467"/>
      <c r="BD322" s="27468"/>
      <c r="BE322" s="27469"/>
      <c r="BF322" s="27470"/>
      <c r="BG322" s="27471"/>
      <c r="BH322" s="27472"/>
      <c r="BI322" s="27473"/>
      <c r="BJ322" s="27474"/>
      <c r="BK322" s="27475"/>
      <c r="BL322" s="27476"/>
      <c r="BM322" s="27477"/>
      <c r="BN322" s="27478"/>
      <c r="BO322" s="27479"/>
      <c r="BP322" s="27480"/>
      <c r="BQ322" s="27481"/>
      <c r="BR322" s="27482"/>
      <c r="BS322" s="27483"/>
      <c r="BT322" s="27484"/>
      <c r="BU322" s="27485"/>
      <c r="BV322" s="27486"/>
      <c r="BW322" s="27487"/>
      <c r="BX322" s="27488"/>
      <c r="BY322" s="27489"/>
      <c r="BZ322" s="27490"/>
      <c r="CA322" s="27491"/>
      <c r="CB322" s="27492"/>
      <c r="CC322" s="27493"/>
      <c r="CD322" s="27494"/>
      <c r="CE322" s="27495"/>
      <c r="CF322" s="27496"/>
      <c r="CG322" s="27497"/>
      <c r="CH322" s="27498"/>
      <c r="CI322" s="27499"/>
      <c r="CJ322" s="27500"/>
      <c r="CK322" s="27501"/>
      <c r="CL322" s="27502"/>
      <c r="CM322" s="27503"/>
      <c r="CN322" s="27504"/>
      <c r="CO322" s="27505"/>
      <c r="CP322" s="27506"/>
      <c r="CQ322" s="27507"/>
      <c r="CR322" s="27508"/>
      <c r="CS322" s="27509"/>
      <c r="CT322" s="27510"/>
      <c r="CU322" s="27511"/>
      <c r="CV322" s="27512"/>
      <c r="CW322" s="21281"/>
      <c r="CX322" s="21633"/>
      <c r="CY322" s="21633" t="str">
        <f>IF(T322="","",T322)</f>
        <v>Добавить наименование признака дифференциации</v>
      </c>
      <c r="CZ322" s="21633"/>
      <c r="DA322" s="21633"/>
      <c r="DB322" s="21020">
        <v>0</v>
      </c>
    </row>
    <row s="59465" customFormat="1" customHeight="1" ht="14.25">
      <c r="A323" s="21996"/>
      <c r="B323" s="21996"/>
      <c r="C323" s="21996"/>
      <c r="D323" s="21996"/>
      <c r="E323" s="21622"/>
      <c r="F323" s="21623" t="s">
        <v>164</v>
      </c>
      <c r="G323" s="21996"/>
      <c r="H323" s="21996"/>
      <c r="I323" s="21996"/>
      <c r="J323" s="21996"/>
      <c r="K323" s="21996"/>
      <c r="L323" s="21997"/>
      <c r="M323" s="21998"/>
      <c r="N323" s="21998"/>
      <c r="O323" s="21281"/>
      <c r="P323" s="21999"/>
      <c r="Q323" s="22000"/>
      <c r="R323" s="21999"/>
      <c r="S323" s="22001"/>
      <c r="T323" s="22002" t="s">
        <v>290</v>
      </c>
      <c r="U323" s="21260"/>
      <c r="V323" s="21260"/>
      <c r="W323" s="21260"/>
      <c r="X323" s="21260"/>
      <c r="Y323" s="21260"/>
      <c r="Z323" s="21260"/>
      <c r="AA323" s="21260"/>
      <c r="AB323" s="21260"/>
      <c r="AC323" s="21260"/>
      <c r="AD323" s="21260"/>
      <c r="AE323" s="21260"/>
      <c r="AF323" s="21260"/>
      <c r="AG323" s="21260"/>
      <c r="AH323" s="21260"/>
      <c r="AI323" s="21260"/>
      <c r="AJ323" s="21260"/>
      <c r="AK323" s="21260"/>
      <c r="AL323" s="21260"/>
      <c r="AM323" s="21260"/>
      <c r="AN323" s="21260"/>
      <c r="AO323" s="21260"/>
      <c r="AP323" s="21260"/>
      <c r="AQ323" s="21260"/>
      <c r="AR323" s="21260"/>
      <c r="AS323" s="21260"/>
      <c r="AT323" s="21260"/>
      <c r="AU323" s="21260"/>
      <c r="AV323" s="21260"/>
      <c r="AW323" s="21260"/>
      <c r="AX323" s="21260"/>
      <c r="AY323" s="21260"/>
      <c r="AZ323" s="21260"/>
      <c r="BA323" s="21260"/>
      <c r="BB323" s="21260"/>
      <c r="BC323" s="21260"/>
      <c r="BD323" s="21260"/>
      <c r="BE323" s="21260"/>
      <c r="BF323" s="21260"/>
      <c r="BG323" s="21260"/>
      <c r="BH323" s="21260"/>
      <c r="BI323" s="21260"/>
      <c r="BJ323" s="21260"/>
      <c r="BK323" s="21260"/>
      <c r="BL323" s="21260"/>
      <c r="BM323" s="21260"/>
      <c r="BN323" s="21260"/>
      <c r="BO323" s="21260"/>
      <c r="BP323" s="21260"/>
      <c r="BQ323" s="21260"/>
      <c r="BR323" s="21260"/>
      <c r="BS323" s="21260"/>
      <c r="BT323" s="21260"/>
      <c r="BU323" s="21260"/>
      <c r="BV323" s="21260"/>
      <c r="BW323" s="21260"/>
      <c r="BX323" s="21260"/>
      <c r="BY323" s="21260"/>
      <c r="BZ323" s="21260"/>
      <c r="CA323" s="21260"/>
      <c r="CB323" s="21260"/>
      <c r="CC323" s="21260"/>
      <c r="CD323" s="21260"/>
      <c r="CE323" s="21260"/>
      <c r="CF323" s="21260"/>
      <c r="CG323" s="21260"/>
      <c r="CH323" s="21260"/>
      <c r="CI323" s="21260"/>
      <c r="CJ323" s="21260"/>
      <c r="CK323" s="21260"/>
      <c r="CL323" s="21260"/>
      <c r="CM323" s="21260"/>
      <c r="CN323" s="21260"/>
      <c r="CO323" s="21260"/>
      <c r="CP323" s="21260"/>
      <c r="CQ323" s="21260"/>
      <c r="CR323" s="21260"/>
      <c r="CS323" s="21260"/>
      <c r="CT323" s="21260"/>
      <c r="CU323" s="21260"/>
      <c r="CV323" s="21260"/>
      <c r="CW323" s="21281"/>
      <c r="CX323" s="21633"/>
      <c r="CY323" s="21633" t="str">
        <f>IF(T323="","",T323)</f>
        <v>Добавить централизованную систему для дифференциации</v>
      </c>
      <c r="CZ323" s="21633"/>
      <c r="DA323" s="21633"/>
      <c r="DB323" s="21281">
        <v>0</v>
      </c>
    </row>
    <row s="50882" customFormat="1" customHeight="1" ht="0">
      <c r="A324" s="1855" t="s">
        <v>287</v>
      </c>
      <c r="B324" s="1855"/>
      <c r="C324" s="1855"/>
      <c r="D324" s="1855"/>
      <c r="E324" s="2770"/>
      <c r="F324" s="1855"/>
      <c r="G324" s="1855"/>
      <c r="H324" s="1855"/>
      <c r="I324" s="1855"/>
      <c r="J324" s="1855"/>
      <c r="K324" s="1855"/>
      <c r="L324" s="1858"/>
      <c r="M324" s="1833"/>
      <c r="N324" s="1833"/>
      <c r="O324" s="1030"/>
      <c r="P324" s="892"/>
      <c r="Q324" s="1856"/>
      <c r="R324" s="892"/>
      <c r="S324" s="1834"/>
      <c r="T324" s="1837" t="s">
        <v>365</v>
      </c>
      <c r="U324" s="1836"/>
      <c r="V324" s="1836"/>
      <c r="W324" s="1836"/>
      <c r="X324" s="1836"/>
      <c r="Y324" s="1836"/>
      <c r="Z324" s="1836"/>
      <c r="AA324" s="1836"/>
      <c r="AB324" s="1836"/>
      <c r="AC324" s="1836"/>
      <c r="AD324" s="1836"/>
      <c r="AE324" s="1836"/>
      <c r="AF324" s="1836"/>
      <c r="AG324" s="1836"/>
      <c r="AH324" s="1836"/>
      <c r="AI324" s="1836"/>
      <c r="AJ324" s="7886"/>
      <c r="AK324" s="7886"/>
      <c r="AL324" s="7886"/>
      <c r="AM324" s="7886"/>
      <c r="AN324" s="7886"/>
      <c r="AO324" s="7886"/>
      <c r="AP324" s="7886"/>
      <c r="AQ324" s="7886"/>
      <c r="AR324" s="7886"/>
      <c r="AS324" s="7886"/>
      <c r="AT324" s="7886"/>
      <c r="AU324" s="7886"/>
      <c r="AV324" s="7886"/>
      <c r="AW324" s="7886"/>
      <c r="AX324" s="7886"/>
      <c r="AY324" s="7886"/>
      <c r="AZ324" s="7886"/>
      <c r="BA324" s="7886"/>
      <c r="BB324" s="7886"/>
      <c r="BC324" s="7886"/>
      <c r="BD324" s="7886"/>
      <c r="BE324" s="7886"/>
      <c r="BF324" s="7886"/>
      <c r="BG324" s="7886"/>
      <c r="BH324" s="7886"/>
      <c r="BI324" s="7886"/>
      <c r="BJ324" s="7886"/>
      <c r="BK324" s="7886"/>
      <c r="BL324" s="7886"/>
      <c r="BM324" s="7886"/>
      <c r="BN324" s="7886"/>
      <c r="BO324" s="7886"/>
      <c r="BP324" s="7886"/>
      <c r="BQ324" s="7886"/>
      <c r="BR324" s="7886"/>
      <c r="BS324" s="7886"/>
      <c r="BT324" s="7886"/>
      <c r="BU324" s="7886"/>
      <c r="BV324" s="7886"/>
      <c r="BW324" s="7886"/>
      <c r="BX324" s="7886"/>
      <c r="BY324" s="7886"/>
      <c r="BZ324" s="7886"/>
      <c r="CA324" s="7886"/>
      <c r="CB324" s="7886"/>
      <c r="CC324" s="7886"/>
      <c r="CD324" s="7886"/>
      <c r="CE324" s="7886"/>
      <c r="CF324" s="7886"/>
      <c r="CG324" s="7886"/>
      <c r="CH324" s="7886"/>
      <c r="CI324" s="7886"/>
      <c r="CJ324" s="7886"/>
      <c r="CK324" s="7886"/>
      <c r="CL324" s="7886"/>
      <c r="CM324" s="7886"/>
      <c r="CN324" s="21260"/>
      <c r="CO324" s="21260"/>
      <c r="CP324" s="21260"/>
      <c r="CQ324" s="21260"/>
      <c r="CR324" s="21260"/>
      <c r="CS324" s="21260"/>
      <c r="CT324" s="21260"/>
      <c r="CU324" s="1836"/>
      <c r="CV324" s="1836"/>
      <c r="CX324" s="1012"/>
      <c r="CY324" s="1012" t="str">
        <f>IF(T324="","",T324)</f>
        <v>Добавить территорию для дифференциации</v>
      </c>
      <c r="CZ324" s="1012"/>
      <c r="DA324" s="1012"/>
      <c r="DB324" s="1023">
        <v>0</v>
      </c>
    </row>
    <row s="50882" customFormat="1" customHeight="1" ht="0">
      <c r="A325" s="1826"/>
      <c r="B325" s="1826"/>
      <c r="C325" s="1826"/>
      <c r="D325" s="1826"/>
      <c r="E325" s="1855"/>
      <c r="F325" s="1826"/>
      <c r="G325" s="1826"/>
      <c r="H325" s="1826"/>
      <c r="I325" s="1826"/>
      <c r="J325" s="1826"/>
      <c r="K325" s="1826"/>
      <c r="L325" s="1938"/>
      <c r="M325" s="1833"/>
      <c r="N325" s="1833"/>
      <c r="P325" s="1828"/>
      <c r="Q325" s="1829"/>
      <c r="R325" s="1828"/>
      <c r="S325" s="1834"/>
      <c r="T325" s="1837" t="s">
        <v>366</v>
      </c>
      <c r="U325" s="1836"/>
      <c r="V325" s="1836"/>
      <c r="W325" s="1836"/>
      <c r="X325" s="1836"/>
      <c r="Y325" s="1836"/>
      <c r="Z325" s="1836"/>
      <c r="AA325" s="1836"/>
      <c r="AB325" s="1836"/>
      <c r="AC325" s="1836"/>
      <c r="AD325" s="1836"/>
      <c r="AE325" s="1836"/>
      <c r="AF325" s="1836"/>
      <c r="AG325" s="1836"/>
      <c r="AH325" s="1836"/>
      <c r="AI325" s="1836"/>
      <c r="AJ325" s="7886"/>
      <c r="AK325" s="7886"/>
      <c r="AL325" s="7886"/>
      <c r="AM325" s="7886"/>
      <c r="AN325" s="7886"/>
      <c r="AO325" s="7886"/>
      <c r="AP325" s="7886"/>
      <c r="AQ325" s="7886"/>
      <c r="AR325" s="7886"/>
      <c r="AS325" s="7886"/>
      <c r="AT325" s="7886"/>
      <c r="AU325" s="7886"/>
      <c r="AV325" s="7886"/>
      <c r="AW325" s="7886"/>
      <c r="AX325" s="7886"/>
      <c r="AY325" s="7886"/>
      <c r="AZ325" s="7886"/>
      <c r="BA325" s="7886"/>
      <c r="BB325" s="7886"/>
      <c r="BC325" s="7886"/>
      <c r="BD325" s="7886"/>
      <c r="BE325" s="7886"/>
      <c r="BF325" s="7886"/>
      <c r="BG325" s="7886"/>
      <c r="BH325" s="7886"/>
      <c r="BI325" s="7886"/>
      <c r="BJ325" s="7886"/>
      <c r="BK325" s="7886"/>
      <c r="BL325" s="7886"/>
      <c r="BM325" s="7886"/>
      <c r="BN325" s="7886"/>
      <c r="BO325" s="7886"/>
      <c r="BP325" s="7886"/>
      <c r="BQ325" s="7886"/>
      <c r="BR325" s="7886"/>
      <c r="BS325" s="7886"/>
      <c r="BT325" s="7886"/>
      <c r="BU325" s="7886"/>
      <c r="BV325" s="7886"/>
      <c r="BW325" s="7886"/>
      <c r="BX325" s="7886"/>
      <c r="BY325" s="7886"/>
      <c r="BZ325" s="7886"/>
      <c r="CA325" s="7886"/>
      <c r="CB325" s="7886"/>
      <c r="CC325" s="7886"/>
      <c r="CD325" s="7886"/>
      <c r="CE325" s="7886"/>
      <c r="CF325" s="7886"/>
      <c r="CG325" s="7886"/>
      <c r="CH325" s="7886"/>
      <c r="CI325" s="7886"/>
      <c r="CJ325" s="7886"/>
      <c r="CK325" s="7886"/>
      <c r="CL325" s="7886"/>
      <c r="CM325" s="7886"/>
      <c r="CN325" s="21260"/>
      <c r="CO325" s="21260"/>
      <c r="CP325" s="21260"/>
      <c r="CQ325" s="21260"/>
      <c r="CR325" s="21260"/>
      <c r="CS325" s="21260"/>
      <c r="CT325" s="21260"/>
      <c r="CU325" s="1836"/>
      <c r="CV325" s="1836"/>
      <c r="CX325" s="1301"/>
      <c r="CY325" s="1301" t="str">
        <f>IF(T325="","",T325)</f>
        <v>Добавить наименование тарифа</v>
      </c>
      <c r="CZ325" s="1301"/>
      <c r="DA325" s="1301"/>
      <c r="DB325" s="1030">
        <v>0</v>
      </c>
    </row>
    <row customHeight="1" ht="11.549999999999999">
      <c r="M326" s="1672"/>
      <c r="N326" s="1672"/>
      <c r="O326" s="1049"/>
      <c r="P326" s="1667"/>
      <c r="Q326" s="1667"/>
      <c r="R326" s="1667"/>
      <c r="S326" s="1667"/>
      <c r="AJ326" s="7684"/>
      <c r="AK326" s="7684"/>
      <c r="AL326" s="7684"/>
      <c r="AM326" s="7684"/>
      <c r="AN326" s="7684"/>
      <c r="AO326" s="7684"/>
      <c r="AP326" s="7684"/>
      <c r="AQ326" s="7684"/>
      <c r="AR326" s="7684"/>
      <c r="AS326" s="7684"/>
      <c r="AT326" s="7684"/>
      <c r="AU326" s="7684"/>
      <c r="AV326" s="7684"/>
      <c r="AW326" s="7684"/>
      <c r="AX326" s="7684"/>
      <c r="AY326" s="7684"/>
      <c r="AZ326" s="7684"/>
      <c r="BA326" s="7684"/>
      <c r="BB326" s="7684"/>
      <c r="BC326" s="7684"/>
      <c r="BD326" s="7684"/>
      <c r="BE326" s="7684"/>
      <c r="BF326" s="7684"/>
      <c r="BG326" s="7684"/>
      <c r="BH326" s="7684"/>
      <c r="BI326" s="7684"/>
      <c r="BJ326" s="7684"/>
      <c r="BK326" s="7684"/>
      <c r="BL326" s="7684"/>
      <c r="BM326" s="7684"/>
      <c r="BN326" s="7684"/>
      <c r="BO326" s="7684"/>
      <c r="BP326" s="7684"/>
      <c r="BQ326" s="7684"/>
      <c r="BR326" s="7684"/>
      <c r="BS326" s="7684"/>
      <c r="BT326" s="7684"/>
      <c r="BU326" s="7684"/>
      <c r="BV326" s="7684"/>
      <c r="BW326" s="7684"/>
      <c r="BX326" s="7684"/>
      <c r="BY326" s="7684"/>
      <c r="BZ326" s="7684"/>
      <c r="CA326" s="7684"/>
      <c r="CB326" s="7684"/>
      <c r="CC326" s="7684"/>
      <c r="CD326" s="7684"/>
      <c r="CE326" s="7684"/>
      <c r="CF326" s="7684"/>
      <c r="CG326" s="7684"/>
      <c r="CH326" s="7684"/>
      <c r="CI326" s="7684"/>
      <c r="CJ326" s="7684"/>
      <c r="CK326" s="7684"/>
      <c r="CL326" s="7684"/>
      <c r="CM326" s="7684"/>
      <c r="CN326" s="21020"/>
      <c r="CO326" s="21020"/>
      <c r="CP326" s="21020"/>
      <c r="CQ326" s="21020"/>
      <c r="CR326" s="21020"/>
      <c r="CS326" s="21020"/>
      <c r="CT326" s="21020"/>
      <c r="CW326" s="1667"/>
      <c r="CX326" s="1667"/>
      <c r="CY326" s="1667"/>
      <c r="CZ326" s="1667"/>
      <c r="DA326" s="1667"/>
      <c r="DB326" s="1667">
        <v>11</v>
      </c>
    </row>
    <row customHeight="1" ht="14.699999999999998">
      <c r="O327" s="1049"/>
      <c r="S327" s="1765"/>
      <c r="T327" s="2797"/>
      <c r="U327" s="2797"/>
      <c r="V327" s="2797"/>
      <c r="W327" s="2797"/>
      <c r="X327" s="2797"/>
      <c r="Y327" s="2797"/>
      <c r="Z327" s="2797"/>
      <c r="AA327" s="2797"/>
      <c r="AB327" s="2797"/>
      <c r="AC327" s="2797"/>
      <c r="AD327" s="2797"/>
      <c r="AE327" s="2797"/>
      <c r="AF327" s="2797"/>
      <c r="AG327" s="2797"/>
      <c r="AH327" s="2797"/>
      <c r="AI327" s="2797"/>
      <c r="AJ327" s="8191"/>
      <c r="AK327" s="8191"/>
      <c r="AL327" s="8191"/>
      <c r="AM327" s="8191"/>
      <c r="AN327" s="8191"/>
      <c r="AO327" s="8191"/>
      <c r="AP327" s="8191"/>
      <c r="AQ327" s="8191"/>
      <c r="AR327" s="8191"/>
      <c r="AS327" s="8191"/>
      <c r="AT327" s="8191"/>
      <c r="AU327" s="8191"/>
      <c r="AV327" s="8191"/>
      <c r="AW327" s="8191"/>
      <c r="AX327" s="8191"/>
      <c r="AY327" s="8191"/>
      <c r="AZ327" s="8191"/>
      <c r="BA327" s="8191"/>
      <c r="BB327" s="8191"/>
      <c r="BC327" s="8191"/>
      <c r="BD327" s="8191"/>
      <c r="BE327" s="8191"/>
      <c r="BF327" s="8191"/>
      <c r="BG327" s="8191"/>
      <c r="BH327" s="8191"/>
      <c r="BI327" s="8191"/>
      <c r="BJ327" s="8191"/>
      <c r="BK327" s="8191"/>
      <c r="BL327" s="8191"/>
      <c r="BM327" s="8191"/>
      <c r="BN327" s="8191"/>
      <c r="BO327" s="8191"/>
      <c r="BP327" s="8191"/>
      <c r="BQ327" s="8191"/>
      <c r="BR327" s="8191"/>
      <c r="BS327" s="8191"/>
      <c r="BT327" s="8191"/>
      <c r="BU327" s="8191"/>
      <c r="BV327" s="8191"/>
      <c r="BW327" s="8191"/>
      <c r="BX327" s="8191"/>
      <c r="BY327" s="8191"/>
      <c r="BZ327" s="8191"/>
      <c r="CA327" s="8191"/>
      <c r="CB327" s="8191"/>
      <c r="CC327" s="8191"/>
      <c r="CD327" s="8191"/>
      <c r="CE327" s="8191"/>
      <c r="CF327" s="8191"/>
      <c r="CG327" s="8191"/>
      <c r="CH327" s="8191"/>
      <c r="CI327" s="8191"/>
      <c r="CJ327" s="8191"/>
      <c r="CK327" s="8191"/>
      <c r="CL327" s="8191"/>
      <c r="CM327" s="8191"/>
      <c r="CN327" s="27515"/>
      <c r="CO327" s="27515"/>
      <c r="CP327" s="27515"/>
      <c r="CQ327" s="27515"/>
      <c r="CR327" s="27515"/>
      <c r="CS327" s="27515"/>
      <c r="CT327" s="27515"/>
      <c r="CU327" s="2797"/>
      <c r="CV327" s="2797"/>
      <c r="DB327" s="1667">
        <v>14</v>
      </c>
    </row>
    <row customHeight="1" ht="14.699999999999998">
      <c r="O328" s="1049"/>
      <c r="AJ328" s="7684"/>
      <c r="AK328" s="7684"/>
      <c r="AL328" s="7684"/>
      <c r="AM328" s="7684"/>
      <c r="AN328" s="7684"/>
      <c r="AO328" s="7684"/>
      <c r="AP328" s="7684"/>
      <c r="AQ328" s="7684"/>
      <c r="AR328" s="7684"/>
      <c r="AS328" s="7684"/>
      <c r="AT328" s="7684"/>
      <c r="AU328" s="7684"/>
      <c r="AV328" s="7684"/>
      <c r="AW328" s="7684"/>
      <c r="AX328" s="7684"/>
      <c r="AY328" s="7684"/>
      <c r="AZ328" s="7684"/>
      <c r="BA328" s="7684"/>
      <c r="BB328" s="7684"/>
      <c r="BC328" s="7684"/>
      <c r="BD328" s="7684"/>
      <c r="BE328" s="7684"/>
      <c r="BF328" s="7684"/>
      <c r="BG328" s="7684"/>
      <c r="BH328" s="7684"/>
      <c r="BI328" s="7684"/>
      <c r="BJ328" s="7684"/>
      <c r="BK328" s="7684"/>
      <c r="BL328" s="7684"/>
      <c r="BM328" s="7684"/>
      <c r="BN328" s="7684"/>
      <c r="BO328" s="7684"/>
      <c r="BP328" s="7684"/>
      <c r="BQ328" s="7684"/>
      <c r="BR328" s="7684"/>
      <c r="BS328" s="7684"/>
      <c r="BT328" s="7684"/>
      <c r="BU328" s="7684"/>
      <c r="BV328" s="7684"/>
      <c r="BW328" s="7684"/>
      <c r="BX328" s="7684"/>
      <c r="BY328" s="7684"/>
      <c r="BZ328" s="7684"/>
      <c r="CA328" s="7684"/>
      <c r="CB328" s="7684"/>
      <c r="CC328" s="7684"/>
      <c r="CD328" s="7684"/>
      <c r="CE328" s="7684"/>
      <c r="CF328" s="7684"/>
      <c r="CG328" s="7684"/>
      <c r="CH328" s="7684"/>
      <c r="CI328" s="7684"/>
      <c r="CJ328" s="7684"/>
      <c r="CK328" s="7684"/>
      <c r="CL328" s="7684"/>
      <c r="CM328" s="7684"/>
      <c r="CN328" s="21020"/>
      <c r="CO328" s="21020"/>
      <c r="CP328" s="21020"/>
      <c r="CQ328" s="21020"/>
      <c r="CR328" s="21020"/>
      <c r="CS328" s="21020"/>
      <c r="CT328" s="21020"/>
      <c r="DB328" s="1667">
        <v>14</v>
      </c>
    </row>
    <row customHeight="1" ht="14.699999999999998">
      <c r="O329" s="1049"/>
      <c r="S329" s="1765"/>
      <c r="T329" s="2797"/>
      <c r="U329" s="2797"/>
      <c r="V329" s="2797"/>
      <c r="W329" s="2797"/>
      <c r="X329" s="2797"/>
      <c r="Y329" s="2797"/>
      <c r="Z329" s="2797"/>
      <c r="AA329" s="2797"/>
      <c r="AB329" s="2797"/>
      <c r="AC329" s="2797"/>
      <c r="AD329" s="2797"/>
      <c r="AE329" s="2797"/>
      <c r="AF329" s="2797"/>
      <c r="AG329" s="2797"/>
      <c r="AH329" s="2797"/>
      <c r="AI329" s="2797"/>
      <c r="AJ329" s="8191"/>
      <c r="AK329" s="8191"/>
      <c r="AL329" s="8191"/>
      <c r="AM329" s="8191"/>
      <c r="AN329" s="8191"/>
      <c r="AO329" s="8191"/>
      <c r="AP329" s="8191"/>
      <c r="AQ329" s="8191"/>
      <c r="AR329" s="8191"/>
      <c r="AS329" s="8191"/>
      <c r="AT329" s="8191"/>
      <c r="AU329" s="8191"/>
      <c r="AV329" s="8191"/>
      <c r="AW329" s="8191"/>
      <c r="AX329" s="8191"/>
      <c r="AY329" s="8191"/>
      <c r="AZ329" s="8191"/>
      <c r="BA329" s="8191"/>
      <c r="BB329" s="8191"/>
      <c r="BC329" s="8191"/>
      <c r="BD329" s="8191"/>
      <c r="BE329" s="8191"/>
      <c r="BF329" s="8191"/>
      <c r="BG329" s="8191"/>
      <c r="BH329" s="8191"/>
      <c r="BI329" s="8191"/>
      <c r="BJ329" s="8191"/>
      <c r="BK329" s="8191"/>
      <c r="BL329" s="8191"/>
      <c r="BM329" s="8191"/>
      <c r="BN329" s="8191"/>
      <c r="BO329" s="8191"/>
      <c r="BP329" s="8191"/>
      <c r="BQ329" s="8191"/>
      <c r="BR329" s="8191"/>
      <c r="BS329" s="8191"/>
      <c r="BT329" s="8191"/>
      <c r="BU329" s="8191"/>
      <c r="BV329" s="8191"/>
      <c r="BW329" s="8191"/>
      <c r="BX329" s="8191"/>
      <c r="BY329" s="8191"/>
      <c r="BZ329" s="8191"/>
      <c r="CA329" s="8191"/>
      <c r="CB329" s="8191"/>
      <c r="CC329" s="8191"/>
      <c r="CD329" s="8191"/>
      <c r="CE329" s="8191"/>
      <c r="CF329" s="8191"/>
      <c r="CG329" s="8191"/>
      <c r="CH329" s="8191"/>
      <c r="CI329" s="8191"/>
      <c r="CJ329" s="8191"/>
      <c r="CK329" s="8191"/>
      <c r="CL329" s="8191"/>
      <c r="CM329" s="8191"/>
      <c r="CN329" s="27515"/>
      <c r="CO329" s="27515"/>
      <c r="CP329" s="27515"/>
      <c r="CQ329" s="27515"/>
      <c r="CR329" s="27515"/>
      <c r="CS329" s="27515"/>
      <c r="CT329" s="27515"/>
      <c r="CU329" s="2797"/>
      <c r="CV329" s="2797"/>
      <c r="DB329" s="1667">
        <v>14</v>
      </c>
    </row>
    <row customHeight="1" ht="22.5" hidden="1">
      <c r="A330" s="1672" t="s">
        <v>84</v>
      </c>
      <c r="B330" s="1672">
        <v>0</v>
      </c>
      <c r="C330" s="1672">
        <v>0</v>
      </c>
      <c r="D330" s="1672">
        <v>0</v>
      </c>
      <c r="E330" s="1672">
        <v>0</v>
      </c>
      <c r="F330" s="1672">
        <v>0</v>
      </c>
      <c r="G330" s="1672">
        <v>0</v>
      </c>
      <c r="H330" s="1672">
        <v>0</v>
      </c>
      <c r="I330" s="1672">
        <v>0</v>
      </c>
      <c r="J330" s="1672">
        <v>0</v>
      </c>
      <c r="K330" s="1672">
        <v>0</v>
      </c>
      <c r="L330" s="1933">
        <v>0</v>
      </c>
      <c r="M330" s="1874">
        <v>0</v>
      </c>
      <c r="N330" s="1874">
        <v>0</v>
      </c>
      <c r="O330" s="1874">
        <v>0</v>
      </c>
      <c r="P330" s="1863">
        <v>3</v>
      </c>
      <c r="Q330" s="856">
        <v>3</v>
      </c>
      <c r="R330" s="856">
        <v>3</v>
      </c>
      <c r="S330" s="1093">
        <v>12</v>
      </c>
      <c r="T330" s="1667">
        <v>35</v>
      </c>
      <c r="U330" s="1667">
        <v>0</v>
      </c>
      <c r="V330" s="1667">
        <v>0</v>
      </c>
      <c r="W330" s="1667">
        <v>0</v>
      </c>
      <c r="X330" s="1667">
        <v>0</v>
      </c>
      <c r="Y330" s="1667">
        <v>0</v>
      </c>
      <c r="Z330" s="1667">
        <v>0</v>
      </c>
      <c r="AA330" s="1667">
        <v>0</v>
      </c>
      <c r="AB330" s="1667">
        <v>0</v>
      </c>
      <c r="AC330" s="1667">
        <v>24</v>
      </c>
      <c r="AD330" s="1667">
        <v>24</v>
      </c>
      <c r="AE330" s="1667">
        <v>24</v>
      </c>
      <c r="AF330" s="1667">
        <v>11</v>
      </c>
      <c r="AG330" s="1667">
        <v>3</v>
      </c>
      <c r="AH330" s="1667">
        <v>11</v>
      </c>
      <c r="AI330" s="1667">
        <v>0</v>
      </c>
      <c r="AJ330" s="7684">
        <v>0</v>
      </c>
      <c r="AK330" s="7684">
        <v>0</v>
      </c>
      <c r="AL330" s="7684">
        <v>0</v>
      </c>
      <c r="AM330" s="7684">
        <v>0</v>
      </c>
      <c r="AN330" s="7684">
        <v>0</v>
      </c>
      <c r="AO330" s="7684">
        <v>0</v>
      </c>
      <c r="AP330" s="7684">
        <v>0</v>
      </c>
      <c r="AQ330" s="7684">
        <v>0</v>
      </c>
      <c r="AR330" s="7684">
        <v>0</v>
      </c>
      <c r="AS330" s="7684">
        <v>0</v>
      </c>
      <c r="AT330" s="7684">
        <v>0</v>
      </c>
      <c r="AU330" s="7684">
        <v>0</v>
      </c>
      <c r="AV330" s="7684">
        <v>0</v>
      </c>
      <c r="AW330" s="7684">
        <v>0</v>
      </c>
      <c r="AX330" s="7684">
        <v>0</v>
      </c>
      <c r="AY330" s="7684">
        <v>0</v>
      </c>
      <c r="AZ330" s="7684">
        <v>0</v>
      </c>
      <c r="BA330" s="7684">
        <v>0</v>
      </c>
      <c r="BB330" s="7684">
        <v>0</v>
      </c>
      <c r="BC330" s="7684">
        <v>0</v>
      </c>
      <c r="BD330" s="7684">
        <v>0</v>
      </c>
      <c r="BE330" s="7684">
        <v>0</v>
      </c>
      <c r="BF330" s="7684">
        <v>0</v>
      </c>
      <c r="BG330" s="7684">
        <v>0</v>
      </c>
      <c r="BH330" s="7684">
        <v>0</v>
      </c>
      <c r="BI330" s="7684">
        <v>0</v>
      </c>
      <c r="BJ330" s="7684">
        <v>0</v>
      </c>
      <c r="BK330" s="7684">
        <v>0</v>
      </c>
      <c r="BL330" s="7684">
        <v>0</v>
      </c>
      <c r="BM330" s="7684">
        <v>0</v>
      </c>
      <c r="BN330" s="7684">
        <v>0</v>
      </c>
      <c r="BO330" s="7684">
        <v>0</v>
      </c>
      <c r="BP330" s="7684">
        <v>0</v>
      </c>
      <c r="BQ330" s="7684">
        <v>0</v>
      </c>
      <c r="BR330" s="7684">
        <v>0</v>
      </c>
      <c r="BS330" s="7684">
        <v>0</v>
      </c>
      <c r="BT330" s="7684">
        <v>0</v>
      </c>
      <c r="BU330" s="7684">
        <v>0</v>
      </c>
      <c r="BV330" s="7684">
        <v>0</v>
      </c>
      <c r="BW330" s="7684">
        <v>0</v>
      </c>
      <c r="BX330" s="7684">
        <v>0</v>
      </c>
      <c r="BY330" s="7684">
        <v>0</v>
      </c>
      <c r="BZ330" s="7684">
        <v>0</v>
      </c>
      <c r="CA330" s="7684">
        <v>0</v>
      </c>
      <c r="CB330" s="7684">
        <v>0</v>
      </c>
      <c r="CC330" s="7684">
        <v>0</v>
      </c>
      <c r="CD330" s="7684">
        <v>0</v>
      </c>
      <c r="CE330" s="7684">
        <v>0</v>
      </c>
      <c r="CF330" s="7684">
        <v>0</v>
      </c>
      <c r="CG330" s="7684">
        <v>0</v>
      </c>
      <c r="CH330" s="7684">
        <v>0</v>
      </c>
      <c r="CI330" s="7684">
        <v>0</v>
      </c>
      <c r="CJ330" s="7684">
        <v>0</v>
      </c>
      <c r="CK330" s="7684">
        <v>0</v>
      </c>
      <c r="CL330" s="7684">
        <v>0</v>
      </c>
      <c r="CM330" s="7684">
        <v>0</v>
      </c>
      <c r="CN330" s="21020">
        <v>0</v>
      </c>
      <c r="CO330" s="21020">
        <v>0</v>
      </c>
      <c r="CP330" s="21020">
        <v>0</v>
      </c>
      <c r="CQ330" s="21020">
        <v>0</v>
      </c>
      <c r="CR330" s="21020">
        <v>0</v>
      </c>
      <c r="CS330" s="21020">
        <v>0</v>
      </c>
      <c r="CT330" s="21020">
        <v>0</v>
      </c>
      <c r="CU330" s="1667">
        <v>4</v>
      </c>
      <c r="CV330" s="1667">
        <v>115</v>
      </c>
      <c r="CW330" s="1023">
        <v>10</v>
      </c>
      <c r="CX330" s="1023">
        <v>10</v>
      </c>
      <c r="CY330" s="1023">
        <v>10</v>
      </c>
      <c r="CZ330" s="1023">
        <v>10</v>
      </c>
      <c r="DA330" s="1023">
        <v>10</v>
      </c>
      <c r="DB330" s="1667">
        <v>23</v>
      </c>
    </row>
  </sheetData>
  <sheetProtection formatColumns="0" formatRows="0" autoFilter="0" sort="0" insertRows="0" insertColumns="1" deleteRows="0" deleteColumns="0"/>
  <mergeCells count="2542">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I5:I10"/>
    <mergeCell ref="P5:P10"/>
    <mergeCell ref="V5:AB5"/>
    <mergeCell ref="AC5:CU5"/>
    <mergeCell ref="J6:J9"/>
    <mergeCell ref="Q6:Q9"/>
    <mergeCell ref="V6:AB6"/>
    <mergeCell ref="AC6:CU6"/>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CU36"/>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E41:E324"/>
    <mergeCell ref="V41:AB41"/>
    <mergeCell ref="AC41:CU41"/>
    <mergeCell ref="F42:F55"/>
    <mergeCell ref="V42:AB42"/>
    <mergeCell ref="AC42:CU42"/>
    <mergeCell ref="G43:G54"/>
    <mergeCell ref="Y38:AA38"/>
    <mergeCell ref="AD38:AE38"/>
    <mergeCell ref="AF38:AH38"/>
    <mergeCell ref="Z39:AA39"/>
    <mergeCell ref="H44:H54"/>
    <mergeCell ref="I44:I53"/>
    <mergeCell ref="P44:P53"/>
    <mergeCell ref="V44:AB44"/>
    <mergeCell ref="AC44:CU44"/>
    <mergeCell ref="J45:J48"/>
    <mergeCell ref="AG39:AH39"/>
    <mergeCell ref="Z40:AA40"/>
    <mergeCell ref="AG40:AH40"/>
    <mergeCell ref="K46:K47"/>
    <mergeCell ref="V43:AB43"/>
    <mergeCell ref="AC43:CU43"/>
    <mergeCell ref="T327:CV327"/>
    <mergeCell ref="T329:CV329"/>
    <mergeCell ref="Q45:Q48"/>
    <mergeCell ref="V45:AB45"/>
    <mergeCell ref="AC45:CU45"/>
    <mergeCell ref="AF46:AF47"/>
    <mergeCell ref="AG46:AG47"/>
    <mergeCell ref="CV46:CV47"/>
    <mergeCell ref="AH46:AH47"/>
    <mergeCell ref="AI46:AI47"/>
    <mergeCell ref="AI50:AI51"/>
    <mergeCell ref="K50:K51"/>
    <mergeCell ref="Y50:Y51"/>
    <mergeCell ref="Z50:Z51"/>
    <mergeCell ref="AA50:AA51"/>
    <mergeCell ref="AB50:AB51"/>
    <mergeCell ref="J49:J52"/>
    <mergeCell ref="Q49:Q52"/>
    <mergeCell ref="V49:AB49"/>
    <mergeCell ref="AC49:CU49"/>
    <mergeCell ref="CV50:CV51"/>
    <mergeCell ref="AG50:AG51"/>
    <mergeCell ref="AH50:AH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50:AM51"/>
    <mergeCell ref="AN50:AN51"/>
    <mergeCell ref="AO50:AO51"/>
    <mergeCell ref="AP50:AP51"/>
    <mergeCell ref="AP46:AP47"/>
    <mergeCell ref="AN46:AN47"/>
    <mergeCell ref="AO46:AO47"/>
    <mergeCell ref="AM46:AM47"/>
    <mergeCell ref="AB46:AB47"/>
    <mergeCell ref="Z46:Z47"/>
    <mergeCell ref="AA46:AA47"/>
    <mergeCell ref="Y46:Y47"/>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50:AT51"/>
    <mergeCell ref="AU50:AU51"/>
    <mergeCell ref="AV50:AV51"/>
    <mergeCell ref="AW50:AW51"/>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50:BA51"/>
    <mergeCell ref="BB50:BB51"/>
    <mergeCell ref="BC50:BC51"/>
    <mergeCell ref="BD50:BD51"/>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0:BH51"/>
    <mergeCell ref="BI50:BI51"/>
    <mergeCell ref="BJ50:BJ51"/>
    <mergeCell ref="BK50:BK51"/>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50:BO51"/>
    <mergeCell ref="BP50:BP51"/>
    <mergeCell ref="BQ50:BQ51"/>
    <mergeCell ref="BR50:BR51"/>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50:BV51"/>
    <mergeCell ref="BW50:BW51"/>
    <mergeCell ref="BX50:BX51"/>
    <mergeCell ref="BY50:BY51"/>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50:CC51"/>
    <mergeCell ref="CD50:CD51"/>
    <mergeCell ref="CE50:CE51"/>
    <mergeCell ref="CF50:CF51"/>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K40:CL40"/>
    <mergeCell ref="CJ46:CJ47"/>
    <mergeCell ref="CK46:CK47"/>
    <mergeCell ref="CL46:CL47"/>
    <mergeCell ref="CM46:CM47"/>
    <mergeCell ref="CJ50:CJ51"/>
    <mergeCell ref="CK50:CK51"/>
    <mergeCell ref="CL50:CL51"/>
    <mergeCell ref="CM50:CM51"/>
    <mergeCell ref="F56:F69"/>
    <mergeCell ref="V56:AB56"/>
    <mergeCell ref="AC56:CU56"/>
    <mergeCell ref="G57:G68"/>
    <mergeCell ref="V57:AB57"/>
    <mergeCell ref="AC57:CU57"/>
    <mergeCell ref="H58:H68"/>
    <mergeCell ref="AI60:AI61"/>
    <mergeCell ref="K60:K61"/>
    <mergeCell ref="Y60:Y61"/>
    <mergeCell ref="Z60:Z61"/>
    <mergeCell ref="AA60:AA61"/>
    <mergeCell ref="AB60:AB61"/>
    <mergeCell ref="I58:I67"/>
    <mergeCell ref="P58:P67"/>
    <mergeCell ref="V58:AB58"/>
    <mergeCell ref="AC58:CU58"/>
    <mergeCell ref="J59:J62"/>
    <mergeCell ref="Q59:Q62"/>
    <mergeCell ref="V59:AB59"/>
    <mergeCell ref="AC59:CU59"/>
    <mergeCell ref="CV60:CV61"/>
    <mergeCell ref="AG60:AG61"/>
    <mergeCell ref="AH60:AH61"/>
    <mergeCell ref="AF60:AF61"/>
    <mergeCell ref="AM60:AM61"/>
    <mergeCell ref="AN60:AN61"/>
    <mergeCell ref="AO60:AO61"/>
    <mergeCell ref="AP60:AP61"/>
    <mergeCell ref="AT60:AT61"/>
    <mergeCell ref="AU60:AU61"/>
    <mergeCell ref="AV60:AV61"/>
    <mergeCell ref="AW60:AW61"/>
    <mergeCell ref="BA60:BA61"/>
    <mergeCell ref="BB60:BB61"/>
    <mergeCell ref="BC60:BC61"/>
    <mergeCell ref="BD60:BD61"/>
    <mergeCell ref="BH60:BH61"/>
    <mergeCell ref="BI60:BI61"/>
    <mergeCell ref="BJ60:BJ61"/>
    <mergeCell ref="BK60:BK61"/>
    <mergeCell ref="BO60:BO61"/>
    <mergeCell ref="BP60:BP61"/>
    <mergeCell ref="BQ60:BQ61"/>
    <mergeCell ref="BR60:BR61"/>
    <mergeCell ref="BV60:BV61"/>
    <mergeCell ref="BW60:BW61"/>
    <mergeCell ref="BX60:BX61"/>
    <mergeCell ref="BY60:BY61"/>
    <mergeCell ref="CC60:CC61"/>
    <mergeCell ref="CD60:CD61"/>
    <mergeCell ref="CE60:CE61"/>
    <mergeCell ref="CF60:CF61"/>
    <mergeCell ref="CJ60:CJ61"/>
    <mergeCell ref="CK60:CK61"/>
    <mergeCell ref="CL60:CL61"/>
    <mergeCell ref="CM60:CM61"/>
    <mergeCell ref="F70:F83"/>
    <mergeCell ref="V70:AB70"/>
    <mergeCell ref="AC70:CU70"/>
    <mergeCell ref="G71:G82"/>
    <mergeCell ref="V71:AB71"/>
    <mergeCell ref="AC71:CU71"/>
    <mergeCell ref="H72:H82"/>
    <mergeCell ref="AI74:AI75"/>
    <mergeCell ref="K74:K75"/>
    <mergeCell ref="Y74:Y75"/>
    <mergeCell ref="Z74:Z75"/>
    <mergeCell ref="AA74:AA75"/>
    <mergeCell ref="AB74:AB75"/>
    <mergeCell ref="I72:I81"/>
    <mergeCell ref="P72:P81"/>
    <mergeCell ref="V72:AB72"/>
    <mergeCell ref="AC72:CU72"/>
    <mergeCell ref="J73:J76"/>
    <mergeCell ref="Q73:Q76"/>
    <mergeCell ref="V73:AB73"/>
    <mergeCell ref="AC73:CU73"/>
    <mergeCell ref="CV74:CV75"/>
    <mergeCell ref="AG74:AG75"/>
    <mergeCell ref="AH74:AH75"/>
    <mergeCell ref="AF74:AF75"/>
    <mergeCell ref="AM74:AM75"/>
    <mergeCell ref="AN74:AN75"/>
    <mergeCell ref="AO74:AO75"/>
    <mergeCell ref="AP74:AP75"/>
    <mergeCell ref="AT74:AT75"/>
    <mergeCell ref="AU74:AU75"/>
    <mergeCell ref="AV74:AV75"/>
    <mergeCell ref="AW74:AW75"/>
    <mergeCell ref="BA74:BA75"/>
    <mergeCell ref="BB74:BB75"/>
    <mergeCell ref="BC74:BC75"/>
    <mergeCell ref="BD74:BD75"/>
    <mergeCell ref="BH74:BH75"/>
    <mergeCell ref="BI74:BI75"/>
    <mergeCell ref="BJ74:BJ75"/>
    <mergeCell ref="BK74:BK75"/>
    <mergeCell ref="BO74:BO75"/>
    <mergeCell ref="BP74:BP75"/>
    <mergeCell ref="BQ74:BQ75"/>
    <mergeCell ref="BR74:BR75"/>
    <mergeCell ref="BV74:BV75"/>
    <mergeCell ref="BW74:BW75"/>
    <mergeCell ref="BX74:BX75"/>
    <mergeCell ref="BY74:BY75"/>
    <mergeCell ref="CC74:CC75"/>
    <mergeCell ref="CD74:CD75"/>
    <mergeCell ref="CE74:CE75"/>
    <mergeCell ref="CF74:CF75"/>
    <mergeCell ref="CJ74:CJ75"/>
    <mergeCell ref="CK74:CK75"/>
    <mergeCell ref="CL74:CL75"/>
    <mergeCell ref="CM74:CM75"/>
    <mergeCell ref="F84:F97"/>
    <mergeCell ref="V84:AB84"/>
    <mergeCell ref="AC84:CU84"/>
    <mergeCell ref="G85:G96"/>
    <mergeCell ref="V85:AB85"/>
    <mergeCell ref="AC85:CU85"/>
    <mergeCell ref="H86:H96"/>
    <mergeCell ref="AI88:AI89"/>
    <mergeCell ref="K88:K89"/>
    <mergeCell ref="Y88:Y89"/>
    <mergeCell ref="Z88:Z89"/>
    <mergeCell ref="AA88:AA89"/>
    <mergeCell ref="AB88:AB89"/>
    <mergeCell ref="I86:I95"/>
    <mergeCell ref="P86:P95"/>
    <mergeCell ref="V86:AB86"/>
    <mergeCell ref="AC86:CU86"/>
    <mergeCell ref="J87:J90"/>
    <mergeCell ref="Q87:Q90"/>
    <mergeCell ref="V87:AB87"/>
    <mergeCell ref="AC87:CU87"/>
    <mergeCell ref="CV88:CV89"/>
    <mergeCell ref="AG88:AG89"/>
    <mergeCell ref="AH88:AH89"/>
    <mergeCell ref="AF88:AF89"/>
    <mergeCell ref="AM88:AM89"/>
    <mergeCell ref="AN88:AN89"/>
    <mergeCell ref="AO88:AO89"/>
    <mergeCell ref="AP88:AP89"/>
    <mergeCell ref="AT88:AT89"/>
    <mergeCell ref="AU88:AU89"/>
    <mergeCell ref="AV88:AV89"/>
    <mergeCell ref="AW88:AW89"/>
    <mergeCell ref="BA88:BA89"/>
    <mergeCell ref="BB88:BB89"/>
    <mergeCell ref="BC88:BC89"/>
    <mergeCell ref="BD88:BD89"/>
    <mergeCell ref="BH88:BH89"/>
    <mergeCell ref="BI88:BI89"/>
    <mergeCell ref="BJ88:BJ89"/>
    <mergeCell ref="BK88:BK89"/>
    <mergeCell ref="BO88:BO89"/>
    <mergeCell ref="BP88:BP89"/>
    <mergeCell ref="BQ88:BQ89"/>
    <mergeCell ref="BR88:BR89"/>
    <mergeCell ref="BV88:BV89"/>
    <mergeCell ref="BW88:BW89"/>
    <mergeCell ref="BX88:BX89"/>
    <mergeCell ref="BY88:BY89"/>
    <mergeCell ref="CC88:CC89"/>
    <mergeCell ref="CD88:CD89"/>
    <mergeCell ref="CE88:CE89"/>
    <mergeCell ref="CF88:CF89"/>
    <mergeCell ref="CJ88:CJ89"/>
    <mergeCell ref="CK88:CK89"/>
    <mergeCell ref="CL88:CL89"/>
    <mergeCell ref="CM88:CM89"/>
    <mergeCell ref="F98:F159"/>
    <mergeCell ref="V98:AB98"/>
    <mergeCell ref="AC98:CU98"/>
    <mergeCell ref="G99:G110"/>
    <mergeCell ref="V99:AB99"/>
    <mergeCell ref="AC99:CU99"/>
    <mergeCell ref="H100:H110"/>
    <mergeCell ref="AI102:AI103"/>
    <mergeCell ref="K102:K103"/>
    <mergeCell ref="Y102:Y103"/>
    <mergeCell ref="Z102:Z103"/>
    <mergeCell ref="AA102:AA103"/>
    <mergeCell ref="AB102:AB103"/>
    <mergeCell ref="I100:I109"/>
    <mergeCell ref="P100:P109"/>
    <mergeCell ref="V100:AB100"/>
    <mergeCell ref="AC100:CU100"/>
    <mergeCell ref="J101:J104"/>
    <mergeCell ref="Q101:Q104"/>
    <mergeCell ref="V101:AB101"/>
    <mergeCell ref="AC101:CU101"/>
    <mergeCell ref="CV102:CV103"/>
    <mergeCell ref="AG102:AG103"/>
    <mergeCell ref="AH102:AH103"/>
    <mergeCell ref="AF102:AF103"/>
    <mergeCell ref="AM102:AM103"/>
    <mergeCell ref="AN102:AN103"/>
    <mergeCell ref="AO102:AO103"/>
    <mergeCell ref="AP102:AP103"/>
    <mergeCell ref="AT102:AT103"/>
    <mergeCell ref="AU102:AU103"/>
    <mergeCell ref="AV102:AV103"/>
    <mergeCell ref="AW102:AW103"/>
    <mergeCell ref="BA102:BA103"/>
    <mergeCell ref="BB102:BB103"/>
    <mergeCell ref="BC102:BC103"/>
    <mergeCell ref="BD102:BD103"/>
    <mergeCell ref="BH102:BH103"/>
    <mergeCell ref="BI102:BI103"/>
    <mergeCell ref="BJ102:BJ103"/>
    <mergeCell ref="BK102:BK103"/>
    <mergeCell ref="BO102:BO103"/>
    <mergeCell ref="BP102:BP103"/>
    <mergeCell ref="BQ102:BQ103"/>
    <mergeCell ref="BR102:BR103"/>
    <mergeCell ref="BV102:BV103"/>
    <mergeCell ref="BW102:BW103"/>
    <mergeCell ref="BX102:BX103"/>
    <mergeCell ref="BY102:BY103"/>
    <mergeCell ref="CC102:CC103"/>
    <mergeCell ref="CD102:CD103"/>
    <mergeCell ref="CE102:CE103"/>
    <mergeCell ref="CF102:CF103"/>
    <mergeCell ref="CJ102:CJ103"/>
    <mergeCell ref="CK102:CK103"/>
    <mergeCell ref="CL102:CL103"/>
    <mergeCell ref="CM102:CM103"/>
    <mergeCell ref="G111:G122"/>
    <mergeCell ref="V111:AB111"/>
    <mergeCell ref="AC111:CU111"/>
    <mergeCell ref="H112:H122"/>
    <mergeCell ref="AI114:AI115"/>
    <mergeCell ref="K114:K115"/>
    <mergeCell ref="Y114:Y115"/>
    <mergeCell ref="Z114:Z115"/>
    <mergeCell ref="AA114:AA115"/>
    <mergeCell ref="AB114:AB115"/>
    <mergeCell ref="I112:I121"/>
    <mergeCell ref="P112:P121"/>
    <mergeCell ref="V112:AB112"/>
    <mergeCell ref="AC112:CU112"/>
    <mergeCell ref="J113:J116"/>
    <mergeCell ref="Q113:Q116"/>
    <mergeCell ref="V113:AB113"/>
    <mergeCell ref="AC113:CU113"/>
    <mergeCell ref="CV114:CV115"/>
    <mergeCell ref="AG114:AG115"/>
    <mergeCell ref="AH114:AH115"/>
    <mergeCell ref="AF114:AF115"/>
    <mergeCell ref="AM114:AM115"/>
    <mergeCell ref="AN114:AN115"/>
    <mergeCell ref="AO114:AO115"/>
    <mergeCell ref="AP114:AP115"/>
    <mergeCell ref="AT114:AT115"/>
    <mergeCell ref="AU114:AU115"/>
    <mergeCell ref="AV114:AV115"/>
    <mergeCell ref="AW114:AW115"/>
    <mergeCell ref="BA114:BA115"/>
    <mergeCell ref="BB114:BB115"/>
    <mergeCell ref="BC114:BC115"/>
    <mergeCell ref="BD114:BD115"/>
    <mergeCell ref="BH114:BH115"/>
    <mergeCell ref="BI114:BI115"/>
    <mergeCell ref="BJ114:BJ115"/>
    <mergeCell ref="BK114:BK115"/>
    <mergeCell ref="BO114:BO115"/>
    <mergeCell ref="BP114:BP115"/>
    <mergeCell ref="BQ114:BQ115"/>
    <mergeCell ref="BR114:BR115"/>
    <mergeCell ref="BV114:BV115"/>
    <mergeCell ref="BW114:BW115"/>
    <mergeCell ref="BX114:BX115"/>
    <mergeCell ref="BY114:BY115"/>
    <mergeCell ref="CC114:CC115"/>
    <mergeCell ref="CD114:CD115"/>
    <mergeCell ref="CE114:CE115"/>
    <mergeCell ref="CF114:CF115"/>
    <mergeCell ref="CJ114:CJ115"/>
    <mergeCell ref="CK114:CK115"/>
    <mergeCell ref="CL114:CL115"/>
    <mergeCell ref="CM114:CM115"/>
    <mergeCell ref="G123:G134"/>
    <mergeCell ref="V123:AB123"/>
    <mergeCell ref="AC123:CU123"/>
    <mergeCell ref="H124:H134"/>
    <mergeCell ref="AI126:AI127"/>
    <mergeCell ref="K126:K127"/>
    <mergeCell ref="Y126:Y127"/>
    <mergeCell ref="Z126:Z127"/>
    <mergeCell ref="AA126:AA127"/>
    <mergeCell ref="AB126:AB127"/>
    <mergeCell ref="I124:I133"/>
    <mergeCell ref="P124:P133"/>
    <mergeCell ref="V124:AB124"/>
    <mergeCell ref="AC124:CU124"/>
    <mergeCell ref="J125:J128"/>
    <mergeCell ref="Q125:Q128"/>
    <mergeCell ref="V125:AB125"/>
    <mergeCell ref="AC125:CU125"/>
    <mergeCell ref="CV126:CV127"/>
    <mergeCell ref="AG126:AG127"/>
    <mergeCell ref="AH126:AH127"/>
    <mergeCell ref="AF126:AF127"/>
    <mergeCell ref="AM126:AM127"/>
    <mergeCell ref="AN126:AN127"/>
    <mergeCell ref="AO126:AO127"/>
    <mergeCell ref="AP126:AP127"/>
    <mergeCell ref="AT126:AT127"/>
    <mergeCell ref="AU126:AU127"/>
    <mergeCell ref="AV126:AV127"/>
    <mergeCell ref="AW126:AW127"/>
    <mergeCell ref="BA126:BA127"/>
    <mergeCell ref="BB126:BB127"/>
    <mergeCell ref="BC126:BC127"/>
    <mergeCell ref="BD126:BD127"/>
    <mergeCell ref="BH126:BH127"/>
    <mergeCell ref="BI126:BI127"/>
    <mergeCell ref="BJ126:BJ127"/>
    <mergeCell ref="BK126:BK127"/>
    <mergeCell ref="BO126:BO127"/>
    <mergeCell ref="BP126:BP127"/>
    <mergeCell ref="BQ126:BQ127"/>
    <mergeCell ref="BR126:BR127"/>
    <mergeCell ref="BV126:BV127"/>
    <mergeCell ref="BW126:BW127"/>
    <mergeCell ref="BX126:BX127"/>
    <mergeCell ref="BY126:BY127"/>
    <mergeCell ref="CC126:CC127"/>
    <mergeCell ref="CD126:CD127"/>
    <mergeCell ref="CE126:CE127"/>
    <mergeCell ref="CF126:CF127"/>
    <mergeCell ref="CJ126:CJ127"/>
    <mergeCell ref="CK126:CK127"/>
    <mergeCell ref="CL126:CL127"/>
    <mergeCell ref="CM126:CM127"/>
    <mergeCell ref="G135:G146"/>
    <mergeCell ref="V135:AB135"/>
    <mergeCell ref="AC135:CU135"/>
    <mergeCell ref="H136:H146"/>
    <mergeCell ref="AI138:AI139"/>
    <mergeCell ref="K138:K139"/>
    <mergeCell ref="Y138:Y139"/>
    <mergeCell ref="Z138:Z139"/>
    <mergeCell ref="AA138:AA139"/>
    <mergeCell ref="AB138:AB139"/>
    <mergeCell ref="I136:I145"/>
    <mergeCell ref="P136:P145"/>
    <mergeCell ref="V136:AB136"/>
    <mergeCell ref="AC136:CU136"/>
    <mergeCell ref="J137:J140"/>
    <mergeCell ref="Q137:Q140"/>
    <mergeCell ref="V137:AB137"/>
    <mergeCell ref="AC137:CU137"/>
    <mergeCell ref="CV138:CV139"/>
    <mergeCell ref="AG138:AG139"/>
    <mergeCell ref="AH138:AH139"/>
    <mergeCell ref="AF138:AF139"/>
    <mergeCell ref="AM138:AM139"/>
    <mergeCell ref="AN138:AN139"/>
    <mergeCell ref="AO138:AO139"/>
    <mergeCell ref="AP138:AP139"/>
    <mergeCell ref="AT138:AT139"/>
    <mergeCell ref="AU138:AU139"/>
    <mergeCell ref="AV138:AV139"/>
    <mergeCell ref="AW138:AW139"/>
    <mergeCell ref="BA138:BA139"/>
    <mergeCell ref="BB138:BB139"/>
    <mergeCell ref="BC138:BC139"/>
    <mergeCell ref="BD138:BD139"/>
    <mergeCell ref="BH138:BH139"/>
    <mergeCell ref="BI138:BI139"/>
    <mergeCell ref="BJ138:BJ139"/>
    <mergeCell ref="BK138:BK139"/>
    <mergeCell ref="BO138:BO139"/>
    <mergeCell ref="BP138:BP139"/>
    <mergeCell ref="BQ138:BQ139"/>
    <mergeCell ref="BR138:BR139"/>
    <mergeCell ref="BV138:BV139"/>
    <mergeCell ref="BW138:BW139"/>
    <mergeCell ref="BX138:BX139"/>
    <mergeCell ref="BY138:BY139"/>
    <mergeCell ref="CC138:CC139"/>
    <mergeCell ref="CD138:CD139"/>
    <mergeCell ref="CE138:CE139"/>
    <mergeCell ref="CF138:CF139"/>
    <mergeCell ref="CJ138:CJ139"/>
    <mergeCell ref="CK138:CK139"/>
    <mergeCell ref="CL138:CL139"/>
    <mergeCell ref="CM138:CM139"/>
    <mergeCell ref="F160:F173"/>
    <mergeCell ref="V160:AB160"/>
    <mergeCell ref="AC160:CU160"/>
    <mergeCell ref="G161:G172"/>
    <mergeCell ref="V161:AB161"/>
    <mergeCell ref="AC161:CU161"/>
    <mergeCell ref="H162:H172"/>
    <mergeCell ref="AI164:AI165"/>
    <mergeCell ref="K164:K165"/>
    <mergeCell ref="Y164:Y165"/>
    <mergeCell ref="Z164:Z165"/>
    <mergeCell ref="AA164:AA165"/>
    <mergeCell ref="AB164:AB165"/>
    <mergeCell ref="I162:I171"/>
    <mergeCell ref="P162:P171"/>
    <mergeCell ref="V162:AB162"/>
    <mergeCell ref="AC162:CU162"/>
    <mergeCell ref="J163:J166"/>
    <mergeCell ref="Q163:Q166"/>
    <mergeCell ref="V163:AB163"/>
    <mergeCell ref="AC163:CU163"/>
    <mergeCell ref="CV164:CV165"/>
    <mergeCell ref="AG164:AG165"/>
    <mergeCell ref="AH164:AH165"/>
    <mergeCell ref="AF164:AF165"/>
    <mergeCell ref="AM164:AM165"/>
    <mergeCell ref="AN164:AN165"/>
    <mergeCell ref="AO164:AO165"/>
    <mergeCell ref="AP164:AP165"/>
    <mergeCell ref="AT164:AT165"/>
    <mergeCell ref="AU164:AU165"/>
    <mergeCell ref="AV164:AV165"/>
    <mergeCell ref="AW164:AW165"/>
    <mergeCell ref="BA164:BA165"/>
    <mergeCell ref="BB164:BB165"/>
    <mergeCell ref="BC164:BC165"/>
    <mergeCell ref="BD164:BD165"/>
    <mergeCell ref="BH164:BH165"/>
    <mergeCell ref="BI164:BI165"/>
    <mergeCell ref="BJ164:BJ165"/>
    <mergeCell ref="BK164:BK165"/>
    <mergeCell ref="BO164:BO165"/>
    <mergeCell ref="BP164:BP165"/>
    <mergeCell ref="BQ164:BQ165"/>
    <mergeCell ref="BR164:BR165"/>
    <mergeCell ref="BV164:BV165"/>
    <mergeCell ref="BW164:BW165"/>
    <mergeCell ref="BX164:BX165"/>
    <mergeCell ref="BY164:BY165"/>
    <mergeCell ref="CC164:CC165"/>
    <mergeCell ref="CD164:CD165"/>
    <mergeCell ref="CE164:CE165"/>
    <mergeCell ref="CF164:CF165"/>
    <mergeCell ref="CJ164:CJ165"/>
    <mergeCell ref="CK164:CK165"/>
    <mergeCell ref="CL164:CL165"/>
    <mergeCell ref="CM164:CM165"/>
    <mergeCell ref="F174:F187"/>
    <mergeCell ref="V174:AB174"/>
    <mergeCell ref="AC174:CU174"/>
    <mergeCell ref="G175:G186"/>
    <mergeCell ref="V175:AB175"/>
    <mergeCell ref="AC175:CU175"/>
    <mergeCell ref="H176:H186"/>
    <mergeCell ref="AI178:AI179"/>
    <mergeCell ref="K178:K179"/>
    <mergeCell ref="Y178:Y179"/>
    <mergeCell ref="Z178:Z179"/>
    <mergeCell ref="AA178:AA179"/>
    <mergeCell ref="AB178:AB179"/>
    <mergeCell ref="I176:I185"/>
    <mergeCell ref="P176:P185"/>
    <mergeCell ref="V176:AB176"/>
    <mergeCell ref="AC176:CU176"/>
    <mergeCell ref="J177:J180"/>
    <mergeCell ref="Q177:Q180"/>
    <mergeCell ref="V177:AB177"/>
    <mergeCell ref="AC177:CU177"/>
    <mergeCell ref="CV178:CV179"/>
    <mergeCell ref="AG178:AG179"/>
    <mergeCell ref="AH178:AH179"/>
    <mergeCell ref="AF178:AF179"/>
    <mergeCell ref="AM178:AM179"/>
    <mergeCell ref="AN178:AN179"/>
    <mergeCell ref="AO178:AO179"/>
    <mergeCell ref="AP178:AP179"/>
    <mergeCell ref="AT178:AT179"/>
    <mergeCell ref="AU178:AU179"/>
    <mergeCell ref="AV178:AV179"/>
    <mergeCell ref="AW178:AW179"/>
    <mergeCell ref="BA178:BA179"/>
    <mergeCell ref="BB178:BB179"/>
    <mergeCell ref="BC178:BC179"/>
    <mergeCell ref="BD178:BD179"/>
    <mergeCell ref="BH178:BH179"/>
    <mergeCell ref="BI178:BI179"/>
    <mergeCell ref="BJ178:BJ179"/>
    <mergeCell ref="BK178:BK179"/>
    <mergeCell ref="BO178:BO179"/>
    <mergeCell ref="BP178:BP179"/>
    <mergeCell ref="BQ178:BQ179"/>
    <mergeCell ref="BR178:BR179"/>
    <mergeCell ref="BV178:BV179"/>
    <mergeCell ref="BW178:BW179"/>
    <mergeCell ref="BX178:BX179"/>
    <mergeCell ref="BY178:BY179"/>
    <mergeCell ref="CC178:CC179"/>
    <mergeCell ref="CD178:CD179"/>
    <mergeCell ref="CE178:CE179"/>
    <mergeCell ref="CF178:CF179"/>
    <mergeCell ref="CJ178:CJ179"/>
    <mergeCell ref="CK178:CK179"/>
    <mergeCell ref="CL178:CL179"/>
    <mergeCell ref="CM178:CM179"/>
    <mergeCell ref="F188:F201"/>
    <mergeCell ref="V188:AB188"/>
    <mergeCell ref="AC188:CU188"/>
    <mergeCell ref="G189:G200"/>
    <mergeCell ref="V189:AB189"/>
    <mergeCell ref="AC189:CU189"/>
    <mergeCell ref="H190:H200"/>
    <mergeCell ref="AI192:AI193"/>
    <mergeCell ref="K192:K193"/>
    <mergeCell ref="Y192:Y193"/>
    <mergeCell ref="Z192:Z193"/>
    <mergeCell ref="AA192:AA193"/>
    <mergeCell ref="AB192:AB193"/>
    <mergeCell ref="I190:I199"/>
    <mergeCell ref="P190:P199"/>
    <mergeCell ref="V190:AB190"/>
    <mergeCell ref="AC190:CU190"/>
    <mergeCell ref="J191:J194"/>
    <mergeCell ref="Q191:Q194"/>
    <mergeCell ref="V191:AB191"/>
    <mergeCell ref="AC191:CU191"/>
    <mergeCell ref="CV192:CV193"/>
    <mergeCell ref="AG192:AG193"/>
    <mergeCell ref="AH192:AH193"/>
    <mergeCell ref="AF192:AF193"/>
    <mergeCell ref="AM192:AM193"/>
    <mergeCell ref="AN192:AN193"/>
    <mergeCell ref="AO192:AO193"/>
    <mergeCell ref="AP192:AP193"/>
    <mergeCell ref="AT192:AT193"/>
    <mergeCell ref="AU192:AU193"/>
    <mergeCell ref="AV192:AV193"/>
    <mergeCell ref="AW192:AW193"/>
    <mergeCell ref="BA192:BA193"/>
    <mergeCell ref="BB192:BB193"/>
    <mergeCell ref="BC192:BC193"/>
    <mergeCell ref="BD192:BD193"/>
    <mergeCell ref="BH192:BH193"/>
    <mergeCell ref="BI192:BI193"/>
    <mergeCell ref="BJ192:BJ193"/>
    <mergeCell ref="BK192:BK193"/>
    <mergeCell ref="BO192:BO193"/>
    <mergeCell ref="BP192:BP193"/>
    <mergeCell ref="BQ192:BQ193"/>
    <mergeCell ref="BR192:BR193"/>
    <mergeCell ref="BV192:BV193"/>
    <mergeCell ref="BW192:BW193"/>
    <mergeCell ref="BX192:BX193"/>
    <mergeCell ref="BY192:BY193"/>
    <mergeCell ref="CC192:CC193"/>
    <mergeCell ref="CD192:CD193"/>
    <mergeCell ref="CE192:CE193"/>
    <mergeCell ref="CF192:CF193"/>
    <mergeCell ref="CJ192:CJ193"/>
    <mergeCell ref="CK192:CK193"/>
    <mergeCell ref="CL192:CL193"/>
    <mergeCell ref="CM192:CM193"/>
    <mergeCell ref="F202:F215"/>
    <mergeCell ref="V202:AB202"/>
    <mergeCell ref="AC202:CU202"/>
    <mergeCell ref="G203:G214"/>
    <mergeCell ref="V203:AB203"/>
    <mergeCell ref="AC203:CU203"/>
    <mergeCell ref="H204:H214"/>
    <mergeCell ref="AI206:AI207"/>
    <mergeCell ref="K206:K207"/>
    <mergeCell ref="Y206:Y207"/>
    <mergeCell ref="Z206:Z207"/>
    <mergeCell ref="AA206:AA207"/>
    <mergeCell ref="AB206:AB207"/>
    <mergeCell ref="I204:I213"/>
    <mergeCell ref="P204:P213"/>
    <mergeCell ref="V204:AB204"/>
    <mergeCell ref="AC204:CU204"/>
    <mergeCell ref="J205:J208"/>
    <mergeCell ref="Q205:Q208"/>
    <mergeCell ref="V205:AB205"/>
    <mergeCell ref="AC205:CU205"/>
    <mergeCell ref="CV206:CV207"/>
    <mergeCell ref="AG206:AG207"/>
    <mergeCell ref="AH206:AH207"/>
    <mergeCell ref="AF206:AF207"/>
    <mergeCell ref="AM206:AM207"/>
    <mergeCell ref="AN206:AN207"/>
    <mergeCell ref="AO206:AO207"/>
    <mergeCell ref="AP206:AP207"/>
    <mergeCell ref="AT206:AT207"/>
    <mergeCell ref="AU206:AU207"/>
    <mergeCell ref="AV206:AV207"/>
    <mergeCell ref="AW206:AW207"/>
    <mergeCell ref="BA206:BA207"/>
    <mergeCell ref="BB206:BB207"/>
    <mergeCell ref="BC206:BC207"/>
    <mergeCell ref="BD206:BD207"/>
    <mergeCell ref="BH206:BH207"/>
    <mergeCell ref="BI206:BI207"/>
    <mergeCell ref="BJ206:BJ207"/>
    <mergeCell ref="BK206:BK207"/>
    <mergeCell ref="BO206:BO207"/>
    <mergeCell ref="BP206:BP207"/>
    <mergeCell ref="BQ206:BQ207"/>
    <mergeCell ref="BR206:BR207"/>
    <mergeCell ref="BV206:BV207"/>
    <mergeCell ref="BW206:BW207"/>
    <mergeCell ref="BX206:BX207"/>
    <mergeCell ref="BY206:BY207"/>
    <mergeCell ref="CC206:CC207"/>
    <mergeCell ref="CD206:CD207"/>
    <mergeCell ref="CE206:CE207"/>
    <mergeCell ref="CF206:CF207"/>
    <mergeCell ref="CJ206:CJ207"/>
    <mergeCell ref="CK206:CK207"/>
    <mergeCell ref="CL206:CL207"/>
    <mergeCell ref="CM206:CM207"/>
    <mergeCell ref="F216:F229"/>
    <mergeCell ref="V216:AB216"/>
    <mergeCell ref="AC216:CU216"/>
    <mergeCell ref="G217:G228"/>
    <mergeCell ref="V217:AB217"/>
    <mergeCell ref="AC217:CU217"/>
    <mergeCell ref="H218:H228"/>
    <mergeCell ref="AI220:AI221"/>
    <mergeCell ref="K220:K221"/>
    <mergeCell ref="Y220:Y221"/>
    <mergeCell ref="Z220:Z221"/>
    <mergeCell ref="AA220:AA221"/>
    <mergeCell ref="AB220:AB221"/>
    <mergeCell ref="I218:I227"/>
    <mergeCell ref="P218:P227"/>
    <mergeCell ref="V218:AB218"/>
    <mergeCell ref="AC218:CU218"/>
    <mergeCell ref="J219:J222"/>
    <mergeCell ref="Q219:Q222"/>
    <mergeCell ref="V219:AB219"/>
    <mergeCell ref="AC219:CU219"/>
    <mergeCell ref="CV220:CV221"/>
    <mergeCell ref="AG220:AG221"/>
    <mergeCell ref="AH220:AH221"/>
    <mergeCell ref="AF220:AF221"/>
    <mergeCell ref="AM220:AM221"/>
    <mergeCell ref="AN220:AN221"/>
    <mergeCell ref="AO220:AO221"/>
    <mergeCell ref="AP220:AP221"/>
    <mergeCell ref="AT220:AT221"/>
    <mergeCell ref="AU220:AU221"/>
    <mergeCell ref="AV220:AV221"/>
    <mergeCell ref="AW220:AW221"/>
    <mergeCell ref="BA220:BA221"/>
    <mergeCell ref="BB220:BB221"/>
    <mergeCell ref="BC220:BC221"/>
    <mergeCell ref="BD220:BD221"/>
    <mergeCell ref="BH220:BH221"/>
    <mergeCell ref="BI220:BI221"/>
    <mergeCell ref="BJ220:BJ221"/>
    <mergeCell ref="BK220:BK221"/>
    <mergeCell ref="BO220:BO221"/>
    <mergeCell ref="BP220:BP221"/>
    <mergeCell ref="BQ220:BQ221"/>
    <mergeCell ref="BR220:BR221"/>
    <mergeCell ref="BV220:BV221"/>
    <mergeCell ref="BW220:BW221"/>
    <mergeCell ref="BX220:BX221"/>
    <mergeCell ref="BY220:BY221"/>
    <mergeCell ref="CC220:CC221"/>
    <mergeCell ref="CD220:CD221"/>
    <mergeCell ref="CE220:CE221"/>
    <mergeCell ref="CF220:CF221"/>
    <mergeCell ref="CJ220:CJ221"/>
    <mergeCell ref="CK220:CK221"/>
    <mergeCell ref="CL220:CL221"/>
    <mergeCell ref="CM220:CM221"/>
    <mergeCell ref="F230:F243"/>
    <mergeCell ref="V230:AB230"/>
    <mergeCell ref="AC230:CU230"/>
    <mergeCell ref="G231:G242"/>
    <mergeCell ref="V231:AB231"/>
    <mergeCell ref="AC231:CU231"/>
    <mergeCell ref="H232:H242"/>
    <mergeCell ref="AI234:AI235"/>
    <mergeCell ref="K234:K235"/>
    <mergeCell ref="Y234:Y235"/>
    <mergeCell ref="Z234:Z235"/>
    <mergeCell ref="AA234:AA235"/>
    <mergeCell ref="AB234:AB235"/>
    <mergeCell ref="I232:I241"/>
    <mergeCell ref="P232:P241"/>
    <mergeCell ref="V232:AB232"/>
    <mergeCell ref="AC232:CU232"/>
    <mergeCell ref="J233:J236"/>
    <mergeCell ref="Q233:Q236"/>
    <mergeCell ref="V233:AB233"/>
    <mergeCell ref="AC233:CU233"/>
    <mergeCell ref="CV234:CV235"/>
    <mergeCell ref="AG234:AG235"/>
    <mergeCell ref="AH234:AH235"/>
    <mergeCell ref="AF234:AF235"/>
    <mergeCell ref="AM234:AM235"/>
    <mergeCell ref="AN234:AN235"/>
    <mergeCell ref="AO234:AO235"/>
    <mergeCell ref="AP234:AP235"/>
    <mergeCell ref="AT234:AT235"/>
    <mergeCell ref="AU234:AU235"/>
    <mergeCell ref="AV234:AV235"/>
    <mergeCell ref="AW234:AW235"/>
    <mergeCell ref="BA234:BA235"/>
    <mergeCell ref="BB234:BB235"/>
    <mergeCell ref="BC234:BC235"/>
    <mergeCell ref="BD234:BD235"/>
    <mergeCell ref="BH234:BH235"/>
    <mergeCell ref="BI234:BI235"/>
    <mergeCell ref="BJ234:BJ235"/>
    <mergeCell ref="BK234:BK235"/>
    <mergeCell ref="BO234:BO235"/>
    <mergeCell ref="BP234:BP235"/>
    <mergeCell ref="BQ234:BQ235"/>
    <mergeCell ref="BR234:BR235"/>
    <mergeCell ref="BV234:BV235"/>
    <mergeCell ref="BW234:BW235"/>
    <mergeCell ref="BX234:BX235"/>
    <mergeCell ref="BY234:BY235"/>
    <mergeCell ref="CC234:CC235"/>
    <mergeCell ref="CD234:CD235"/>
    <mergeCell ref="CE234:CE235"/>
    <mergeCell ref="CF234:CF235"/>
    <mergeCell ref="CJ234:CJ235"/>
    <mergeCell ref="CK234:CK235"/>
    <mergeCell ref="CL234:CL235"/>
    <mergeCell ref="CM234:CM235"/>
    <mergeCell ref="F244:F257"/>
    <mergeCell ref="V244:AB244"/>
    <mergeCell ref="AC244:CU244"/>
    <mergeCell ref="G245:G256"/>
    <mergeCell ref="V245:AB245"/>
    <mergeCell ref="AC245:CU245"/>
    <mergeCell ref="H246:H256"/>
    <mergeCell ref="AI248:AI249"/>
    <mergeCell ref="K248:K249"/>
    <mergeCell ref="Y248:Y249"/>
    <mergeCell ref="Z248:Z249"/>
    <mergeCell ref="AA248:AA249"/>
    <mergeCell ref="AB248:AB249"/>
    <mergeCell ref="I246:I255"/>
    <mergeCell ref="P246:P255"/>
    <mergeCell ref="V246:AB246"/>
    <mergeCell ref="AC246:CU246"/>
    <mergeCell ref="J247:J250"/>
    <mergeCell ref="Q247:Q250"/>
    <mergeCell ref="V247:AB247"/>
    <mergeCell ref="AC247:CU247"/>
    <mergeCell ref="CV248:CV249"/>
    <mergeCell ref="AG248:AG249"/>
    <mergeCell ref="AH248:AH249"/>
    <mergeCell ref="AF248:AF249"/>
    <mergeCell ref="AM248:AM249"/>
    <mergeCell ref="AN248:AN249"/>
    <mergeCell ref="AO248:AO249"/>
    <mergeCell ref="AP248:AP249"/>
    <mergeCell ref="AT248:AT249"/>
    <mergeCell ref="AU248:AU249"/>
    <mergeCell ref="AV248:AV249"/>
    <mergeCell ref="AW248:AW249"/>
    <mergeCell ref="BA248:BA249"/>
    <mergeCell ref="BB248:BB249"/>
    <mergeCell ref="BC248:BC249"/>
    <mergeCell ref="BD248:BD249"/>
    <mergeCell ref="BH248:BH249"/>
    <mergeCell ref="BI248:BI249"/>
    <mergeCell ref="BJ248:BJ249"/>
    <mergeCell ref="BK248:BK249"/>
    <mergeCell ref="BO248:BO249"/>
    <mergeCell ref="BP248:BP249"/>
    <mergeCell ref="BQ248:BQ249"/>
    <mergeCell ref="BR248:BR249"/>
    <mergeCell ref="BV248:BV249"/>
    <mergeCell ref="BW248:BW249"/>
    <mergeCell ref="BX248:BX249"/>
    <mergeCell ref="BY248:BY249"/>
    <mergeCell ref="CC248:CC249"/>
    <mergeCell ref="CD248:CD249"/>
    <mergeCell ref="CE248:CE249"/>
    <mergeCell ref="CF248:CF249"/>
    <mergeCell ref="CJ248:CJ249"/>
    <mergeCell ref="CK248:CK249"/>
    <mergeCell ref="CL248:CL249"/>
    <mergeCell ref="CM248:CM249"/>
    <mergeCell ref="F258:F271"/>
    <mergeCell ref="V258:AB258"/>
    <mergeCell ref="AC258:CU258"/>
    <mergeCell ref="G259:G270"/>
    <mergeCell ref="V259:AB259"/>
    <mergeCell ref="AC259:CU259"/>
    <mergeCell ref="H260:H270"/>
    <mergeCell ref="AI262:AI263"/>
    <mergeCell ref="K262:K263"/>
    <mergeCell ref="Y262:Y263"/>
    <mergeCell ref="Z262:Z263"/>
    <mergeCell ref="AA262:AA263"/>
    <mergeCell ref="AB262:AB263"/>
    <mergeCell ref="I260:I269"/>
    <mergeCell ref="P260:P269"/>
    <mergeCell ref="V260:AB260"/>
    <mergeCell ref="AC260:CU260"/>
    <mergeCell ref="J261:J264"/>
    <mergeCell ref="Q261:Q264"/>
    <mergeCell ref="V261:AB261"/>
    <mergeCell ref="AC261:CU261"/>
    <mergeCell ref="CV262:CV263"/>
    <mergeCell ref="AG262:AG263"/>
    <mergeCell ref="AH262:AH263"/>
    <mergeCell ref="AF262:AF263"/>
    <mergeCell ref="AM262:AM263"/>
    <mergeCell ref="AN262:AN263"/>
    <mergeCell ref="AO262:AO263"/>
    <mergeCell ref="AP262:AP263"/>
    <mergeCell ref="AT262:AT263"/>
    <mergeCell ref="AU262:AU263"/>
    <mergeCell ref="AV262:AV263"/>
    <mergeCell ref="AW262:AW263"/>
    <mergeCell ref="BA262:BA263"/>
    <mergeCell ref="BB262:BB263"/>
    <mergeCell ref="BC262:BC263"/>
    <mergeCell ref="BD262:BD263"/>
    <mergeCell ref="BH262:BH263"/>
    <mergeCell ref="BI262:BI263"/>
    <mergeCell ref="BJ262:BJ263"/>
    <mergeCell ref="BK262:BK263"/>
    <mergeCell ref="BO262:BO263"/>
    <mergeCell ref="BP262:BP263"/>
    <mergeCell ref="BQ262:BQ263"/>
    <mergeCell ref="BR262:BR263"/>
    <mergeCell ref="BV262:BV263"/>
    <mergeCell ref="BW262:BW263"/>
    <mergeCell ref="BX262:BX263"/>
    <mergeCell ref="BY262:BY263"/>
    <mergeCell ref="CC262:CC263"/>
    <mergeCell ref="CD262:CD263"/>
    <mergeCell ref="CE262:CE263"/>
    <mergeCell ref="CF262:CF263"/>
    <mergeCell ref="CJ262:CJ263"/>
    <mergeCell ref="CK262:CK263"/>
    <mergeCell ref="CL262:CL263"/>
    <mergeCell ref="CM262:CM263"/>
    <mergeCell ref="F272:F297"/>
    <mergeCell ref="V272:AB272"/>
    <mergeCell ref="AC272:CU272"/>
    <mergeCell ref="G273:G284"/>
    <mergeCell ref="V273:AB273"/>
    <mergeCell ref="AC273:CU273"/>
    <mergeCell ref="H274:H284"/>
    <mergeCell ref="AI276:AI277"/>
    <mergeCell ref="K276:K277"/>
    <mergeCell ref="Y276:Y277"/>
    <mergeCell ref="Z276:Z277"/>
    <mergeCell ref="AA276:AA277"/>
    <mergeCell ref="AB276:AB277"/>
    <mergeCell ref="I274:I283"/>
    <mergeCell ref="P274:P283"/>
    <mergeCell ref="V274:AB274"/>
    <mergeCell ref="AC274:CU274"/>
    <mergeCell ref="J275:J278"/>
    <mergeCell ref="Q275:Q278"/>
    <mergeCell ref="V275:AB275"/>
    <mergeCell ref="AC275:CU275"/>
    <mergeCell ref="CV276:CV277"/>
    <mergeCell ref="AG276:AG277"/>
    <mergeCell ref="AH276:AH277"/>
    <mergeCell ref="AF276:AF277"/>
    <mergeCell ref="AM276:AM277"/>
    <mergeCell ref="AN276:AN277"/>
    <mergeCell ref="AO276:AO277"/>
    <mergeCell ref="AP276:AP277"/>
    <mergeCell ref="AT276:AT277"/>
    <mergeCell ref="AU276:AU277"/>
    <mergeCell ref="AV276:AV277"/>
    <mergeCell ref="AW276:AW277"/>
    <mergeCell ref="BA276:BA277"/>
    <mergeCell ref="BB276:BB277"/>
    <mergeCell ref="BC276:BC277"/>
    <mergeCell ref="BD276:BD277"/>
    <mergeCell ref="BH276:BH277"/>
    <mergeCell ref="BI276:BI277"/>
    <mergeCell ref="BJ276:BJ277"/>
    <mergeCell ref="BK276:BK277"/>
    <mergeCell ref="BO276:BO277"/>
    <mergeCell ref="BP276:BP277"/>
    <mergeCell ref="BQ276:BQ277"/>
    <mergeCell ref="BR276:BR277"/>
    <mergeCell ref="BV276:BV277"/>
    <mergeCell ref="BW276:BW277"/>
    <mergeCell ref="BX276:BX277"/>
    <mergeCell ref="BY276:BY277"/>
    <mergeCell ref="CC276:CC277"/>
    <mergeCell ref="CD276:CD277"/>
    <mergeCell ref="CE276:CE277"/>
    <mergeCell ref="CF276:CF277"/>
    <mergeCell ref="CJ276:CJ277"/>
    <mergeCell ref="CK276:CK277"/>
    <mergeCell ref="CL276:CL277"/>
    <mergeCell ref="CM276:CM277"/>
    <mergeCell ref="F298:F323"/>
    <mergeCell ref="V298:AB298"/>
    <mergeCell ref="AC298:CU298"/>
    <mergeCell ref="G299:G310"/>
    <mergeCell ref="V299:AB299"/>
    <mergeCell ref="AC299:CU299"/>
    <mergeCell ref="H300:H310"/>
    <mergeCell ref="AI302:AI303"/>
    <mergeCell ref="K302:K303"/>
    <mergeCell ref="Y302:Y303"/>
    <mergeCell ref="Z302:Z303"/>
    <mergeCell ref="AA302:AA303"/>
    <mergeCell ref="AB302:AB303"/>
    <mergeCell ref="I300:I309"/>
    <mergeCell ref="P300:P309"/>
    <mergeCell ref="V300:AB300"/>
    <mergeCell ref="AC300:CU300"/>
    <mergeCell ref="J301:J304"/>
    <mergeCell ref="Q301:Q304"/>
    <mergeCell ref="V301:AB301"/>
    <mergeCell ref="AC301:CU301"/>
    <mergeCell ref="CV302:CV303"/>
    <mergeCell ref="AG302:AG303"/>
    <mergeCell ref="AH302:AH303"/>
    <mergeCell ref="AF302:AF303"/>
    <mergeCell ref="AM302:AM303"/>
    <mergeCell ref="AN302:AN303"/>
    <mergeCell ref="AO302:AO303"/>
    <mergeCell ref="AP302:AP303"/>
    <mergeCell ref="AT302:AT303"/>
    <mergeCell ref="AU302:AU303"/>
    <mergeCell ref="AV302:AV303"/>
    <mergeCell ref="AW302:AW303"/>
    <mergeCell ref="BA302:BA303"/>
    <mergeCell ref="BB302:BB303"/>
    <mergeCell ref="BC302:BC303"/>
    <mergeCell ref="BD302:BD303"/>
    <mergeCell ref="BH302:BH303"/>
    <mergeCell ref="BI302:BI303"/>
    <mergeCell ref="BJ302:BJ303"/>
    <mergeCell ref="BK302:BK303"/>
    <mergeCell ref="BO302:BO303"/>
    <mergeCell ref="BP302:BP303"/>
    <mergeCell ref="BQ302:BQ303"/>
    <mergeCell ref="BR302:BR303"/>
    <mergeCell ref="BV302:BV303"/>
    <mergeCell ref="BW302:BW303"/>
    <mergeCell ref="BX302:BX303"/>
    <mergeCell ref="BY302:BY303"/>
    <mergeCell ref="CC302:CC303"/>
    <mergeCell ref="CD302:CD303"/>
    <mergeCell ref="CE302:CE303"/>
    <mergeCell ref="CF302:CF303"/>
    <mergeCell ref="CJ302:CJ303"/>
    <mergeCell ref="CK302:CK303"/>
    <mergeCell ref="CL302:CL303"/>
    <mergeCell ref="CM302:CM303"/>
    <mergeCell ref="G285:G296"/>
    <mergeCell ref="V285:AB285"/>
    <mergeCell ref="AC285:CU285"/>
    <mergeCell ref="H286:H296"/>
    <mergeCell ref="AI288:AI289"/>
    <mergeCell ref="K288:K289"/>
    <mergeCell ref="Y288:Y289"/>
    <mergeCell ref="Z288:Z289"/>
    <mergeCell ref="AA288:AA289"/>
    <mergeCell ref="AB288:AB289"/>
    <mergeCell ref="I286:I295"/>
    <mergeCell ref="P286:P295"/>
    <mergeCell ref="V286:AB286"/>
    <mergeCell ref="AC286:CU286"/>
    <mergeCell ref="J287:J290"/>
    <mergeCell ref="Q287:Q290"/>
    <mergeCell ref="V287:AB287"/>
    <mergeCell ref="AC287:CU287"/>
    <mergeCell ref="CV288:CV289"/>
    <mergeCell ref="AG288:AG289"/>
    <mergeCell ref="AH288:AH289"/>
    <mergeCell ref="AF288:AF289"/>
    <mergeCell ref="AM288:AM289"/>
    <mergeCell ref="AN288:AN289"/>
    <mergeCell ref="AO288:AO289"/>
    <mergeCell ref="AP288:AP289"/>
    <mergeCell ref="AT288:AT289"/>
    <mergeCell ref="AU288:AU289"/>
    <mergeCell ref="AV288:AV289"/>
    <mergeCell ref="AW288:AW289"/>
    <mergeCell ref="BA288:BA289"/>
    <mergeCell ref="BB288:BB289"/>
    <mergeCell ref="BC288:BC289"/>
    <mergeCell ref="BD288:BD289"/>
    <mergeCell ref="BH288:BH289"/>
    <mergeCell ref="BI288:BI289"/>
    <mergeCell ref="BJ288:BJ289"/>
    <mergeCell ref="BK288:BK289"/>
    <mergeCell ref="BO288:BO289"/>
    <mergeCell ref="BP288:BP289"/>
    <mergeCell ref="BQ288:BQ289"/>
    <mergeCell ref="BR288:BR289"/>
    <mergeCell ref="BV288:BV289"/>
    <mergeCell ref="BW288:BW289"/>
    <mergeCell ref="BX288:BX289"/>
    <mergeCell ref="BY288:BY289"/>
    <mergeCell ref="CC288:CC289"/>
    <mergeCell ref="CD288:CD289"/>
    <mergeCell ref="CE288:CE289"/>
    <mergeCell ref="CF288:CF289"/>
    <mergeCell ref="CJ288:CJ289"/>
    <mergeCell ref="CK288:CK289"/>
    <mergeCell ref="CL288:CL289"/>
    <mergeCell ref="CM288:CM289"/>
    <mergeCell ref="G311:G322"/>
    <mergeCell ref="V311:AB311"/>
    <mergeCell ref="AC311:CU311"/>
    <mergeCell ref="H312:H322"/>
    <mergeCell ref="AI314:AI315"/>
    <mergeCell ref="K314:K315"/>
    <mergeCell ref="Y314:Y315"/>
    <mergeCell ref="Z314:Z315"/>
    <mergeCell ref="AA314:AA315"/>
    <mergeCell ref="AB314:AB315"/>
    <mergeCell ref="I312:I321"/>
    <mergeCell ref="P312:P321"/>
    <mergeCell ref="V312:AB312"/>
    <mergeCell ref="AC312:CU312"/>
    <mergeCell ref="J313:J316"/>
    <mergeCell ref="Q313:Q316"/>
    <mergeCell ref="V313:AB313"/>
    <mergeCell ref="AC313:CU313"/>
    <mergeCell ref="CV314:CV315"/>
    <mergeCell ref="AG314:AG315"/>
    <mergeCell ref="AH314:AH315"/>
    <mergeCell ref="AF314:AF315"/>
    <mergeCell ref="AM314:AM315"/>
    <mergeCell ref="AN314:AN315"/>
    <mergeCell ref="AO314:AO315"/>
    <mergeCell ref="AP314:AP315"/>
    <mergeCell ref="AT314:AT315"/>
    <mergeCell ref="AU314:AU315"/>
    <mergeCell ref="AV314:AV315"/>
    <mergeCell ref="AW314:AW315"/>
    <mergeCell ref="BA314:BA315"/>
    <mergeCell ref="BB314:BB315"/>
    <mergeCell ref="BC314:BC315"/>
    <mergeCell ref="BD314:BD315"/>
    <mergeCell ref="BH314:BH315"/>
    <mergeCell ref="BI314:BI315"/>
    <mergeCell ref="BJ314:BJ315"/>
    <mergeCell ref="BK314:BK315"/>
    <mergeCell ref="BO314:BO315"/>
    <mergeCell ref="BP314:BP315"/>
    <mergeCell ref="BQ314:BQ315"/>
    <mergeCell ref="BR314:BR315"/>
    <mergeCell ref="BV314:BV315"/>
    <mergeCell ref="BW314:BW315"/>
    <mergeCell ref="BX314:BX315"/>
    <mergeCell ref="BY314:BY315"/>
    <mergeCell ref="CC314:CC315"/>
    <mergeCell ref="CD314:CD315"/>
    <mergeCell ref="CE314:CE315"/>
    <mergeCell ref="CF314:CF315"/>
    <mergeCell ref="CJ314:CJ315"/>
    <mergeCell ref="CK314:CK315"/>
    <mergeCell ref="CL314:CL315"/>
    <mergeCell ref="CM314:CM315"/>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50:CQ51"/>
    <mergeCell ref="CR50:CR51"/>
    <mergeCell ref="CS50:CS51"/>
    <mergeCell ref="CT50:CT51"/>
    <mergeCell ref="CQ60:CQ61"/>
    <mergeCell ref="CR60:CR61"/>
    <mergeCell ref="CS60:CS61"/>
    <mergeCell ref="CT60:CT61"/>
    <mergeCell ref="CQ74:CQ75"/>
    <mergeCell ref="CR74:CR75"/>
    <mergeCell ref="CS74:CS75"/>
    <mergeCell ref="CT74:CT75"/>
    <mergeCell ref="CQ88:CQ89"/>
    <mergeCell ref="CR88:CR89"/>
    <mergeCell ref="CS88:CS89"/>
    <mergeCell ref="CT88:CT89"/>
    <mergeCell ref="CQ102:CQ103"/>
    <mergeCell ref="CR102:CR103"/>
    <mergeCell ref="CS102:CS103"/>
    <mergeCell ref="CT102:CT103"/>
    <mergeCell ref="CQ114:CQ115"/>
    <mergeCell ref="CR114:CR115"/>
    <mergeCell ref="CS114:CS115"/>
    <mergeCell ref="CT114:CT115"/>
    <mergeCell ref="CQ126:CQ127"/>
    <mergeCell ref="CR126:CR127"/>
    <mergeCell ref="CS126:CS127"/>
    <mergeCell ref="CT126:CT127"/>
    <mergeCell ref="CQ138:CQ139"/>
    <mergeCell ref="CR138:CR139"/>
    <mergeCell ref="CS138:CS139"/>
    <mergeCell ref="CT138:CT139"/>
    <mergeCell ref="CQ164:CQ165"/>
    <mergeCell ref="CR164:CR165"/>
    <mergeCell ref="CS164:CS165"/>
    <mergeCell ref="CT164:CT165"/>
    <mergeCell ref="CQ178:CQ179"/>
    <mergeCell ref="CR178:CR179"/>
    <mergeCell ref="CS178:CS179"/>
    <mergeCell ref="CT178:CT179"/>
    <mergeCell ref="CQ192:CQ193"/>
    <mergeCell ref="CR192:CR193"/>
    <mergeCell ref="CS192:CS193"/>
    <mergeCell ref="CT192:CT193"/>
    <mergeCell ref="CQ206:CQ207"/>
    <mergeCell ref="CR206:CR207"/>
    <mergeCell ref="CS206:CS207"/>
    <mergeCell ref="CT206:CT207"/>
    <mergeCell ref="CQ220:CQ221"/>
    <mergeCell ref="CR220:CR221"/>
    <mergeCell ref="CS220:CS221"/>
    <mergeCell ref="CT220:CT221"/>
    <mergeCell ref="CQ234:CQ235"/>
    <mergeCell ref="CR234:CR235"/>
    <mergeCell ref="CS234:CS235"/>
    <mergeCell ref="CT234:CT235"/>
    <mergeCell ref="CQ248:CQ249"/>
    <mergeCell ref="CR248:CR249"/>
    <mergeCell ref="CS248:CS249"/>
    <mergeCell ref="CT248:CT249"/>
    <mergeCell ref="CQ262:CQ263"/>
    <mergeCell ref="CR262:CR263"/>
    <mergeCell ref="CS262:CS263"/>
    <mergeCell ref="CT262:CT263"/>
    <mergeCell ref="CQ276:CQ277"/>
    <mergeCell ref="CR276:CR277"/>
    <mergeCell ref="CS276:CS277"/>
    <mergeCell ref="CT276:CT277"/>
    <mergeCell ref="CQ288:CQ289"/>
    <mergeCell ref="CR288:CR289"/>
    <mergeCell ref="CS288:CS289"/>
    <mergeCell ref="CT288:CT289"/>
    <mergeCell ref="CQ302:CQ303"/>
    <mergeCell ref="CR302:CR303"/>
    <mergeCell ref="CS302:CS303"/>
    <mergeCell ref="CT302:CT303"/>
    <mergeCell ref="CQ314:CQ315"/>
    <mergeCell ref="CR314:CR315"/>
    <mergeCell ref="CS314:CS315"/>
    <mergeCell ref="CT314:CT315"/>
    <mergeCell ref="AI64:AI65"/>
    <mergeCell ref="K64:K65"/>
    <mergeCell ref="Y64:Y65"/>
    <mergeCell ref="Z64:Z65"/>
    <mergeCell ref="AA64:AA65"/>
    <mergeCell ref="AB64:AB65"/>
    <mergeCell ref="J63:J66"/>
    <mergeCell ref="Q63:Q66"/>
    <mergeCell ref="V63:AB63"/>
    <mergeCell ref="AC63:CU63"/>
    <mergeCell ref="CV64:CV65"/>
    <mergeCell ref="AG64:AG65"/>
    <mergeCell ref="AH64:AH65"/>
    <mergeCell ref="AF64:AF65"/>
    <mergeCell ref="AM64:AM65"/>
    <mergeCell ref="AN64:AN65"/>
    <mergeCell ref="AO64:AO65"/>
    <mergeCell ref="AP64:AP65"/>
    <mergeCell ref="AT64:AT65"/>
    <mergeCell ref="AU64:AU65"/>
    <mergeCell ref="AV64:AV65"/>
    <mergeCell ref="AW64:AW65"/>
    <mergeCell ref="BA64:BA65"/>
    <mergeCell ref="BB64:BB65"/>
    <mergeCell ref="BC64:BC65"/>
    <mergeCell ref="BD64:BD65"/>
    <mergeCell ref="BH64:BH65"/>
    <mergeCell ref="BI64:BI65"/>
    <mergeCell ref="BJ64:BJ65"/>
    <mergeCell ref="BK64:BK65"/>
    <mergeCell ref="BO64:BO65"/>
    <mergeCell ref="BP64:BP65"/>
    <mergeCell ref="BQ64:BQ65"/>
    <mergeCell ref="BR64:BR65"/>
    <mergeCell ref="BV64:BV65"/>
    <mergeCell ref="BW64:BW65"/>
    <mergeCell ref="BX64:BX65"/>
    <mergeCell ref="BY64:BY65"/>
    <mergeCell ref="CC64:CC65"/>
    <mergeCell ref="CD64:CD65"/>
    <mergeCell ref="CE64:CE65"/>
    <mergeCell ref="CF64:CF65"/>
    <mergeCell ref="CJ64:CJ65"/>
    <mergeCell ref="CK64:CK65"/>
    <mergeCell ref="CL64:CL65"/>
    <mergeCell ref="CM64:CM65"/>
    <mergeCell ref="CQ64:CQ65"/>
    <mergeCell ref="CR64:CR65"/>
    <mergeCell ref="CS64:CS65"/>
    <mergeCell ref="CT64:CT65"/>
    <mergeCell ref="AI78:AI79"/>
    <mergeCell ref="K78:K79"/>
    <mergeCell ref="Y78:Y79"/>
    <mergeCell ref="Z78:Z79"/>
    <mergeCell ref="AA78:AA79"/>
    <mergeCell ref="AB78:AB79"/>
    <mergeCell ref="J77:J80"/>
    <mergeCell ref="Q77:Q80"/>
    <mergeCell ref="V77:AB77"/>
    <mergeCell ref="AC77:CU77"/>
    <mergeCell ref="CV78:CV79"/>
    <mergeCell ref="AG78:AG79"/>
    <mergeCell ref="AH78:AH79"/>
    <mergeCell ref="AF78:AF79"/>
    <mergeCell ref="AM78:AM79"/>
    <mergeCell ref="AN78:AN79"/>
    <mergeCell ref="AO78:AO79"/>
    <mergeCell ref="AP78:AP79"/>
    <mergeCell ref="AT78:AT79"/>
    <mergeCell ref="AU78:AU79"/>
    <mergeCell ref="AV78:AV79"/>
    <mergeCell ref="AW78:AW79"/>
    <mergeCell ref="BA78:BA79"/>
    <mergeCell ref="BB78:BB79"/>
    <mergeCell ref="BC78:BC79"/>
    <mergeCell ref="BD78:BD79"/>
    <mergeCell ref="BH78:BH79"/>
    <mergeCell ref="BI78:BI79"/>
    <mergeCell ref="BJ78:BJ79"/>
    <mergeCell ref="BK78:BK79"/>
    <mergeCell ref="BO78:BO79"/>
    <mergeCell ref="BP78:BP79"/>
    <mergeCell ref="BQ78:BQ79"/>
    <mergeCell ref="BR78:BR79"/>
    <mergeCell ref="BV78:BV79"/>
    <mergeCell ref="BW78:BW79"/>
    <mergeCell ref="BX78:BX79"/>
    <mergeCell ref="BY78:BY79"/>
    <mergeCell ref="CC78:CC79"/>
    <mergeCell ref="CD78:CD79"/>
    <mergeCell ref="CE78:CE79"/>
    <mergeCell ref="CF78:CF79"/>
    <mergeCell ref="CJ78:CJ79"/>
    <mergeCell ref="CK78:CK79"/>
    <mergeCell ref="CL78:CL79"/>
    <mergeCell ref="CM78:CM79"/>
    <mergeCell ref="CQ78:CQ79"/>
    <mergeCell ref="CR78:CR79"/>
    <mergeCell ref="CS78:CS79"/>
    <mergeCell ref="CT78:CT79"/>
    <mergeCell ref="AI92:AI93"/>
    <mergeCell ref="K92:K93"/>
    <mergeCell ref="Y92:Y93"/>
    <mergeCell ref="Z92:Z93"/>
    <mergeCell ref="AA92:AA93"/>
    <mergeCell ref="AB92:AB93"/>
    <mergeCell ref="J91:J94"/>
    <mergeCell ref="Q91:Q94"/>
    <mergeCell ref="V91:AB91"/>
    <mergeCell ref="AC91:CU91"/>
    <mergeCell ref="CV92:CV93"/>
    <mergeCell ref="AG92:AG93"/>
    <mergeCell ref="AH92:AH93"/>
    <mergeCell ref="AF92:AF93"/>
    <mergeCell ref="AM92:AM93"/>
    <mergeCell ref="AN92:AN93"/>
    <mergeCell ref="AO92:AO93"/>
    <mergeCell ref="AP92:AP93"/>
    <mergeCell ref="AT92:AT93"/>
    <mergeCell ref="AU92:AU93"/>
    <mergeCell ref="AV92:AV93"/>
    <mergeCell ref="AW92:AW93"/>
    <mergeCell ref="BA92:BA93"/>
    <mergeCell ref="BB92:BB93"/>
    <mergeCell ref="BC92:BC93"/>
    <mergeCell ref="BD92:BD93"/>
    <mergeCell ref="BH92:BH93"/>
    <mergeCell ref="BI92:BI93"/>
    <mergeCell ref="BJ92:BJ93"/>
    <mergeCell ref="BK92:BK93"/>
    <mergeCell ref="BO92:BO93"/>
    <mergeCell ref="BP92:BP93"/>
    <mergeCell ref="BQ92:BQ93"/>
    <mergeCell ref="BR92:BR93"/>
    <mergeCell ref="BV92:BV93"/>
    <mergeCell ref="BW92:BW93"/>
    <mergeCell ref="BX92:BX93"/>
    <mergeCell ref="BY92:BY93"/>
    <mergeCell ref="CC92:CC93"/>
    <mergeCell ref="CD92:CD93"/>
    <mergeCell ref="CE92:CE93"/>
    <mergeCell ref="CF92:CF93"/>
    <mergeCell ref="CJ92:CJ93"/>
    <mergeCell ref="CK92:CK93"/>
    <mergeCell ref="CL92:CL93"/>
    <mergeCell ref="CM92:CM93"/>
    <mergeCell ref="CQ92:CQ93"/>
    <mergeCell ref="CR92:CR93"/>
    <mergeCell ref="CS92:CS93"/>
    <mergeCell ref="CT92:CT93"/>
    <mergeCell ref="AI106:AI107"/>
    <mergeCell ref="K106:K107"/>
    <mergeCell ref="Y106:Y107"/>
    <mergeCell ref="Z106:Z107"/>
    <mergeCell ref="AA106:AA107"/>
    <mergeCell ref="AB106:AB107"/>
    <mergeCell ref="J105:J108"/>
    <mergeCell ref="Q105:Q108"/>
    <mergeCell ref="V105:AB105"/>
    <mergeCell ref="AC105:CU105"/>
    <mergeCell ref="CV106:CV107"/>
    <mergeCell ref="AG106:AG107"/>
    <mergeCell ref="AH106:AH107"/>
    <mergeCell ref="AF106:AF107"/>
    <mergeCell ref="AM106:AM107"/>
    <mergeCell ref="AN106:AN107"/>
    <mergeCell ref="AO106:AO107"/>
    <mergeCell ref="AP106:AP107"/>
    <mergeCell ref="AT106:AT107"/>
    <mergeCell ref="AU106:AU107"/>
    <mergeCell ref="AV106:AV107"/>
    <mergeCell ref="AW106:AW107"/>
    <mergeCell ref="BA106:BA107"/>
    <mergeCell ref="BB106:BB107"/>
    <mergeCell ref="BC106:BC107"/>
    <mergeCell ref="BD106:BD107"/>
    <mergeCell ref="BH106:BH107"/>
    <mergeCell ref="BI106:BI107"/>
    <mergeCell ref="BJ106:BJ107"/>
    <mergeCell ref="BK106:BK107"/>
    <mergeCell ref="BO106:BO107"/>
    <mergeCell ref="BP106:BP107"/>
    <mergeCell ref="BQ106:BQ107"/>
    <mergeCell ref="BR106:BR107"/>
    <mergeCell ref="BV106:BV107"/>
    <mergeCell ref="BW106:BW107"/>
    <mergeCell ref="BX106:BX107"/>
    <mergeCell ref="BY106:BY107"/>
    <mergeCell ref="CC106:CC107"/>
    <mergeCell ref="CD106:CD107"/>
    <mergeCell ref="CE106:CE107"/>
    <mergeCell ref="CF106:CF107"/>
    <mergeCell ref="CJ106:CJ107"/>
    <mergeCell ref="CK106:CK107"/>
    <mergeCell ref="CL106:CL107"/>
    <mergeCell ref="CM106:CM107"/>
    <mergeCell ref="CQ106:CQ107"/>
    <mergeCell ref="CR106:CR107"/>
    <mergeCell ref="CS106:CS107"/>
    <mergeCell ref="CT106:CT107"/>
    <mergeCell ref="AI118:AI119"/>
    <mergeCell ref="K118:K119"/>
    <mergeCell ref="Y118:Y119"/>
    <mergeCell ref="Z118:Z119"/>
    <mergeCell ref="AA118:AA119"/>
    <mergeCell ref="AB118:AB119"/>
    <mergeCell ref="J117:J120"/>
    <mergeCell ref="Q117:Q120"/>
    <mergeCell ref="V117:AB117"/>
    <mergeCell ref="AC117:CU117"/>
    <mergeCell ref="CV118:CV119"/>
    <mergeCell ref="AG118:AG119"/>
    <mergeCell ref="AH118:AH119"/>
    <mergeCell ref="AF118:AF119"/>
    <mergeCell ref="AM118:AM119"/>
    <mergeCell ref="AN118:AN119"/>
    <mergeCell ref="AO118:AO119"/>
    <mergeCell ref="AP118:AP119"/>
    <mergeCell ref="AT118:AT119"/>
    <mergeCell ref="AU118:AU119"/>
    <mergeCell ref="AV118:AV119"/>
    <mergeCell ref="AW118:AW119"/>
    <mergeCell ref="BA118:BA119"/>
    <mergeCell ref="BB118:BB119"/>
    <mergeCell ref="BC118:BC119"/>
    <mergeCell ref="BD118:BD119"/>
    <mergeCell ref="BH118:BH119"/>
    <mergeCell ref="BI118:BI119"/>
    <mergeCell ref="BJ118:BJ119"/>
    <mergeCell ref="BK118:BK119"/>
    <mergeCell ref="BO118:BO119"/>
    <mergeCell ref="BP118:BP119"/>
    <mergeCell ref="BQ118:BQ119"/>
    <mergeCell ref="BR118:BR119"/>
    <mergeCell ref="BV118:BV119"/>
    <mergeCell ref="BW118:BW119"/>
    <mergeCell ref="BX118:BX119"/>
    <mergeCell ref="BY118:BY119"/>
    <mergeCell ref="CC118:CC119"/>
    <mergeCell ref="CD118:CD119"/>
    <mergeCell ref="CE118:CE119"/>
    <mergeCell ref="CF118:CF119"/>
    <mergeCell ref="CJ118:CJ119"/>
    <mergeCell ref="CK118:CK119"/>
    <mergeCell ref="CL118:CL119"/>
    <mergeCell ref="CM118:CM119"/>
    <mergeCell ref="CQ118:CQ119"/>
    <mergeCell ref="CR118:CR119"/>
    <mergeCell ref="CS118:CS119"/>
    <mergeCell ref="CT118:CT119"/>
    <mergeCell ref="G147:G158"/>
    <mergeCell ref="V147:AB147"/>
    <mergeCell ref="AC147:CU147"/>
    <mergeCell ref="H148:H158"/>
    <mergeCell ref="AI150:AI151"/>
    <mergeCell ref="K150:K151"/>
    <mergeCell ref="Y150:Y151"/>
    <mergeCell ref="Z150:Z151"/>
    <mergeCell ref="AA150:AA151"/>
    <mergeCell ref="AB150:AB151"/>
    <mergeCell ref="I148:I157"/>
    <mergeCell ref="P148:P157"/>
    <mergeCell ref="V148:AB148"/>
    <mergeCell ref="AC148:CU148"/>
    <mergeCell ref="J149:J152"/>
    <mergeCell ref="Q149:Q152"/>
    <mergeCell ref="V149:AB149"/>
    <mergeCell ref="AC149:CU149"/>
    <mergeCell ref="CV150:CV151"/>
    <mergeCell ref="AG150:AG151"/>
    <mergeCell ref="AH150:AH151"/>
    <mergeCell ref="AF150:AF151"/>
    <mergeCell ref="AM150:AM151"/>
    <mergeCell ref="AN150:AN151"/>
    <mergeCell ref="AO150:AO151"/>
    <mergeCell ref="AP150:AP151"/>
    <mergeCell ref="AT150:AT151"/>
    <mergeCell ref="AU150:AU151"/>
    <mergeCell ref="AV150:AV151"/>
    <mergeCell ref="AW150:AW151"/>
    <mergeCell ref="BA150:BA151"/>
    <mergeCell ref="BB150:BB151"/>
    <mergeCell ref="BC150:BC151"/>
    <mergeCell ref="BD150:BD151"/>
    <mergeCell ref="BH150:BH151"/>
    <mergeCell ref="BI150:BI151"/>
    <mergeCell ref="BJ150:BJ151"/>
    <mergeCell ref="BK150:BK151"/>
    <mergeCell ref="BO150:BO151"/>
    <mergeCell ref="BP150:BP151"/>
    <mergeCell ref="BQ150:BQ151"/>
    <mergeCell ref="BR150:BR151"/>
    <mergeCell ref="BV150:BV151"/>
    <mergeCell ref="BW150:BW151"/>
    <mergeCell ref="BX150:BX151"/>
    <mergeCell ref="BY150:BY151"/>
    <mergeCell ref="CC150:CC151"/>
    <mergeCell ref="CD150:CD151"/>
    <mergeCell ref="CE150:CE151"/>
    <mergeCell ref="CF150:CF151"/>
    <mergeCell ref="CJ150:CJ151"/>
    <mergeCell ref="CK150:CK151"/>
    <mergeCell ref="CL150:CL151"/>
    <mergeCell ref="CM150:CM151"/>
    <mergeCell ref="CQ150:CQ151"/>
    <mergeCell ref="CR150:CR151"/>
    <mergeCell ref="CS150:CS151"/>
    <mergeCell ref="CT150:CT151"/>
    <mergeCell ref="AI130:AI131"/>
    <mergeCell ref="K130:K131"/>
    <mergeCell ref="Y130:Y131"/>
    <mergeCell ref="Z130:Z131"/>
    <mergeCell ref="AA130:AA131"/>
    <mergeCell ref="AB130:AB131"/>
    <mergeCell ref="J129:J132"/>
    <mergeCell ref="Q129:Q132"/>
    <mergeCell ref="V129:AB129"/>
    <mergeCell ref="AC129:CU129"/>
    <mergeCell ref="CV130:CV131"/>
    <mergeCell ref="AG130:AG131"/>
    <mergeCell ref="AH130:AH131"/>
    <mergeCell ref="AF130:AF131"/>
    <mergeCell ref="AM130:AM131"/>
    <mergeCell ref="AN130:AN131"/>
    <mergeCell ref="AO130:AO131"/>
    <mergeCell ref="AP130:AP131"/>
    <mergeCell ref="AT130:AT131"/>
    <mergeCell ref="AU130:AU131"/>
    <mergeCell ref="AV130:AV131"/>
    <mergeCell ref="AW130:AW131"/>
    <mergeCell ref="BA130:BA131"/>
    <mergeCell ref="BB130:BB131"/>
    <mergeCell ref="BC130:BC131"/>
    <mergeCell ref="BD130:BD131"/>
    <mergeCell ref="BH130:BH131"/>
    <mergeCell ref="BI130:BI131"/>
    <mergeCell ref="BJ130:BJ131"/>
    <mergeCell ref="BK130:BK131"/>
    <mergeCell ref="BO130:BO131"/>
    <mergeCell ref="BP130:BP131"/>
    <mergeCell ref="BQ130:BQ131"/>
    <mergeCell ref="BR130:BR131"/>
    <mergeCell ref="BV130:BV131"/>
    <mergeCell ref="BW130:BW131"/>
    <mergeCell ref="BX130:BX131"/>
    <mergeCell ref="BY130:BY131"/>
    <mergeCell ref="CC130:CC131"/>
    <mergeCell ref="CD130:CD131"/>
    <mergeCell ref="CE130:CE131"/>
    <mergeCell ref="CF130:CF131"/>
    <mergeCell ref="CJ130:CJ131"/>
    <mergeCell ref="CK130:CK131"/>
    <mergeCell ref="CL130:CL131"/>
    <mergeCell ref="CM130:CM131"/>
    <mergeCell ref="CQ130:CQ131"/>
    <mergeCell ref="CR130:CR131"/>
    <mergeCell ref="CS130:CS131"/>
    <mergeCell ref="CT130:CT131"/>
    <mergeCell ref="AI142:AI143"/>
    <mergeCell ref="K142:K143"/>
    <mergeCell ref="Y142:Y143"/>
    <mergeCell ref="Z142:Z143"/>
    <mergeCell ref="AA142:AA143"/>
    <mergeCell ref="AB142:AB143"/>
    <mergeCell ref="J141:J144"/>
    <mergeCell ref="Q141:Q144"/>
    <mergeCell ref="V141:AB141"/>
    <mergeCell ref="AC141:CU141"/>
    <mergeCell ref="CV142:CV143"/>
    <mergeCell ref="AG142:AG143"/>
    <mergeCell ref="AH142:AH143"/>
    <mergeCell ref="AF142:AF143"/>
    <mergeCell ref="AM142:AM143"/>
    <mergeCell ref="AN142:AN143"/>
    <mergeCell ref="AO142:AO143"/>
    <mergeCell ref="AP142:AP143"/>
    <mergeCell ref="AT142:AT143"/>
    <mergeCell ref="AU142:AU143"/>
    <mergeCell ref="AV142:AV143"/>
    <mergeCell ref="AW142:AW143"/>
    <mergeCell ref="BA142:BA143"/>
    <mergeCell ref="BB142:BB143"/>
    <mergeCell ref="BC142:BC143"/>
    <mergeCell ref="BD142:BD143"/>
    <mergeCell ref="BH142:BH143"/>
    <mergeCell ref="BI142:BI143"/>
    <mergeCell ref="BJ142:BJ143"/>
    <mergeCell ref="BK142:BK143"/>
    <mergeCell ref="BO142:BO143"/>
    <mergeCell ref="BP142:BP143"/>
    <mergeCell ref="BQ142:BQ143"/>
    <mergeCell ref="BR142:BR143"/>
    <mergeCell ref="BV142:BV143"/>
    <mergeCell ref="BW142:BW143"/>
    <mergeCell ref="BX142:BX143"/>
    <mergeCell ref="BY142:BY143"/>
    <mergeCell ref="CC142:CC143"/>
    <mergeCell ref="CD142:CD143"/>
    <mergeCell ref="CE142:CE143"/>
    <mergeCell ref="CF142:CF143"/>
    <mergeCell ref="CJ142:CJ143"/>
    <mergeCell ref="CK142:CK143"/>
    <mergeCell ref="CL142:CL143"/>
    <mergeCell ref="CM142:CM143"/>
    <mergeCell ref="CQ142:CQ143"/>
    <mergeCell ref="CR142:CR143"/>
    <mergeCell ref="CS142:CS143"/>
    <mergeCell ref="CT142:CT143"/>
    <mergeCell ref="AI154:AI155"/>
    <mergeCell ref="K154:K155"/>
    <mergeCell ref="Y154:Y155"/>
    <mergeCell ref="Z154:Z155"/>
    <mergeCell ref="AA154:AA155"/>
    <mergeCell ref="AB154:AB155"/>
    <mergeCell ref="J153:J156"/>
    <mergeCell ref="Q153:Q156"/>
    <mergeCell ref="V153:AB153"/>
    <mergeCell ref="AC153:CU153"/>
    <mergeCell ref="CV154:CV155"/>
    <mergeCell ref="AG154:AG155"/>
    <mergeCell ref="AH154:AH155"/>
    <mergeCell ref="AF154:AF155"/>
    <mergeCell ref="AM154:AM155"/>
    <mergeCell ref="AN154:AN155"/>
    <mergeCell ref="AO154:AO155"/>
    <mergeCell ref="AP154:AP155"/>
    <mergeCell ref="AT154:AT155"/>
    <mergeCell ref="AU154:AU155"/>
    <mergeCell ref="AV154:AV155"/>
    <mergeCell ref="AW154:AW155"/>
    <mergeCell ref="BA154:BA155"/>
    <mergeCell ref="BB154:BB155"/>
    <mergeCell ref="BC154:BC155"/>
    <mergeCell ref="BD154:BD155"/>
    <mergeCell ref="BH154:BH155"/>
    <mergeCell ref="BI154:BI155"/>
    <mergeCell ref="BJ154:BJ155"/>
    <mergeCell ref="BK154:BK155"/>
    <mergeCell ref="BO154:BO155"/>
    <mergeCell ref="BP154:BP155"/>
    <mergeCell ref="BQ154:BQ155"/>
    <mergeCell ref="BR154:BR155"/>
    <mergeCell ref="BV154:BV155"/>
    <mergeCell ref="BW154:BW155"/>
    <mergeCell ref="BX154:BX155"/>
    <mergeCell ref="BY154:BY155"/>
    <mergeCell ref="CC154:CC155"/>
    <mergeCell ref="CD154:CD155"/>
    <mergeCell ref="CE154:CE155"/>
    <mergeCell ref="CF154:CF155"/>
    <mergeCell ref="CJ154:CJ155"/>
    <mergeCell ref="CK154:CK155"/>
    <mergeCell ref="CL154:CL155"/>
    <mergeCell ref="CM154:CM155"/>
    <mergeCell ref="CQ154:CQ155"/>
    <mergeCell ref="CR154:CR155"/>
    <mergeCell ref="CS154:CS155"/>
    <mergeCell ref="CT154:CT155"/>
    <mergeCell ref="AI168:AI169"/>
    <mergeCell ref="K168:K169"/>
    <mergeCell ref="Y168:Y169"/>
    <mergeCell ref="Z168:Z169"/>
    <mergeCell ref="AA168:AA169"/>
    <mergeCell ref="AB168:AB169"/>
    <mergeCell ref="J167:J170"/>
    <mergeCell ref="Q167:Q170"/>
    <mergeCell ref="V167:AB167"/>
    <mergeCell ref="AC167:CU167"/>
    <mergeCell ref="CV168:CV169"/>
    <mergeCell ref="AG168:AG169"/>
    <mergeCell ref="AH168:AH169"/>
    <mergeCell ref="AF168:AF169"/>
    <mergeCell ref="AM168:AM169"/>
    <mergeCell ref="AN168:AN169"/>
    <mergeCell ref="AO168:AO169"/>
    <mergeCell ref="AP168:AP169"/>
    <mergeCell ref="AT168:AT169"/>
    <mergeCell ref="AU168:AU169"/>
    <mergeCell ref="AV168:AV169"/>
    <mergeCell ref="AW168:AW169"/>
    <mergeCell ref="BA168:BA169"/>
    <mergeCell ref="BB168:BB169"/>
    <mergeCell ref="BC168:BC169"/>
    <mergeCell ref="BD168:BD169"/>
    <mergeCell ref="BH168:BH169"/>
    <mergeCell ref="BI168:BI169"/>
    <mergeCell ref="BJ168:BJ169"/>
    <mergeCell ref="BK168:BK169"/>
    <mergeCell ref="BO168:BO169"/>
    <mergeCell ref="BP168:BP169"/>
    <mergeCell ref="BQ168:BQ169"/>
    <mergeCell ref="BR168:BR169"/>
    <mergeCell ref="BV168:BV169"/>
    <mergeCell ref="BW168:BW169"/>
    <mergeCell ref="BX168:BX169"/>
    <mergeCell ref="BY168:BY169"/>
    <mergeCell ref="CC168:CC169"/>
    <mergeCell ref="CD168:CD169"/>
    <mergeCell ref="CE168:CE169"/>
    <mergeCell ref="CF168:CF169"/>
    <mergeCell ref="CJ168:CJ169"/>
    <mergeCell ref="CK168:CK169"/>
    <mergeCell ref="CL168:CL169"/>
    <mergeCell ref="CM168:CM169"/>
    <mergeCell ref="CQ168:CQ169"/>
    <mergeCell ref="CR168:CR169"/>
    <mergeCell ref="CS168:CS169"/>
    <mergeCell ref="CT168:CT169"/>
    <mergeCell ref="AI182:AI183"/>
    <mergeCell ref="K182:K183"/>
    <mergeCell ref="Y182:Y183"/>
    <mergeCell ref="Z182:Z183"/>
    <mergeCell ref="AA182:AA183"/>
    <mergeCell ref="AB182:AB183"/>
    <mergeCell ref="J181:J184"/>
    <mergeCell ref="Q181:Q184"/>
    <mergeCell ref="V181:AB181"/>
    <mergeCell ref="AC181:CU181"/>
    <mergeCell ref="CV182:CV183"/>
    <mergeCell ref="AG182:AG183"/>
    <mergeCell ref="AH182:AH183"/>
    <mergeCell ref="AF182:AF183"/>
    <mergeCell ref="AM182:AM183"/>
    <mergeCell ref="AN182:AN183"/>
    <mergeCell ref="AO182:AO183"/>
    <mergeCell ref="AP182:AP183"/>
    <mergeCell ref="AT182:AT183"/>
    <mergeCell ref="AU182:AU183"/>
    <mergeCell ref="AV182:AV183"/>
    <mergeCell ref="AW182:AW183"/>
    <mergeCell ref="BA182:BA183"/>
    <mergeCell ref="BB182:BB183"/>
    <mergeCell ref="BC182:BC183"/>
    <mergeCell ref="BD182:BD183"/>
    <mergeCell ref="BH182:BH183"/>
    <mergeCell ref="BI182:BI183"/>
    <mergeCell ref="BJ182:BJ183"/>
    <mergeCell ref="BK182:BK183"/>
    <mergeCell ref="BO182:BO183"/>
    <mergeCell ref="BP182:BP183"/>
    <mergeCell ref="BQ182:BQ183"/>
    <mergeCell ref="BR182:BR183"/>
    <mergeCell ref="BV182:BV183"/>
    <mergeCell ref="BW182:BW183"/>
    <mergeCell ref="BX182:BX183"/>
    <mergeCell ref="BY182:BY183"/>
    <mergeCell ref="CC182:CC183"/>
    <mergeCell ref="CD182:CD183"/>
    <mergeCell ref="CE182:CE183"/>
    <mergeCell ref="CF182:CF183"/>
    <mergeCell ref="CJ182:CJ183"/>
    <mergeCell ref="CK182:CK183"/>
    <mergeCell ref="CL182:CL183"/>
    <mergeCell ref="CM182:CM183"/>
    <mergeCell ref="CQ182:CQ183"/>
    <mergeCell ref="CR182:CR183"/>
    <mergeCell ref="CS182:CS183"/>
    <mergeCell ref="CT182:CT183"/>
    <mergeCell ref="AI196:AI197"/>
    <mergeCell ref="K196:K197"/>
    <mergeCell ref="Y196:Y197"/>
    <mergeCell ref="Z196:Z197"/>
    <mergeCell ref="AA196:AA197"/>
    <mergeCell ref="AB196:AB197"/>
    <mergeCell ref="J195:J198"/>
    <mergeCell ref="Q195:Q198"/>
    <mergeCell ref="V195:AB195"/>
    <mergeCell ref="AC195:CU195"/>
    <mergeCell ref="CV196:CV197"/>
    <mergeCell ref="AG196:AG197"/>
    <mergeCell ref="AH196:AH197"/>
    <mergeCell ref="AF196:AF197"/>
    <mergeCell ref="AM196:AM197"/>
    <mergeCell ref="AN196:AN197"/>
    <mergeCell ref="AO196:AO197"/>
    <mergeCell ref="AP196:AP197"/>
    <mergeCell ref="AT196:AT197"/>
    <mergeCell ref="AU196:AU197"/>
    <mergeCell ref="AV196:AV197"/>
    <mergeCell ref="AW196:AW197"/>
    <mergeCell ref="BA196:BA197"/>
    <mergeCell ref="BB196:BB197"/>
    <mergeCell ref="BC196:BC197"/>
    <mergeCell ref="BD196:BD197"/>
    <mergeCell ref="BH196:BH197"/>
    <mergeCell ref="BI196:BI197"/>
    <mergeCell ref="BJ196:BJ197"/>
    <mergeCell ref="BK196:BK197"/>
    <mergeCell ref="BO196:BO197"/>
    <mergeCell ref="BP196:BP197"/>
    <mergeCell ref="BQ196:BQ197"/>
    <mergeCell ref="BR196:BR197"/>
    <mergeCell ref="BV196:BV197"/>
    <mergeCell ref="BW196:BW197"/>
    <mergeCell ref="BX196:BX197"/>
    <mergeCell ref="BY196:BY197"/>
    <mergeCell ref="CC196:CC197"/>
    <mergeCell ref="CD196:CD197"/>
    <mergeCell ref="CE196:CE197"/>
    <mergeCell ref="CF196:CF197"/>
    <mergeCell ref="CJ196:CJ197"/>
    <mergeCell ref="CK196:CK197"/>
    <mergeCell ref="CL196:CL197"/>
    <mergeCell ref="CM196:CM197"/>
    <mergeCell ref="CQ196:CQ197"/>
    <mergeCell ref="CR196:CR197"/>
    <mergeCell ref="CS196:CS197"/>
    <mergeCell ref="CT196:CT197"/>
    <mergeCell ref="AI210:AI211"/>
    <mergeCell ref="K210:K211"/>
    <mergeCell ref="Y210:Y211"/>
    <mergeCell ref="Z210:Z211"/>
    <mergeCell ref="AA210:AA211"/>
    <mergeCell ref="AB210:AB211"/>
    <mergeCell ref="J209:J212"/>
    <mergeCell ref="Q209:Q212"/>
    <mergeCell ref="V209:AB209"/>
    <mergeCell ref="AC209:CU209"/>
    <mergeCell ref="CV210:CV211"/>
    <mergeCell ref="AG210:AG211"/>
    <mergeCell ref="AH210:AH211"/>
    <mergeCell ref="AF210:AF211"/>
    <mergeCell ref="AM210:AM211"/>
    <mergeCell ref="AN210:AN211"/>
    <mergeCell ref="AO210:AO211"/>
    <mergeCell ref="AP210:AP211"/>
    <mergeCell ref="AT210:AT211"/>
    <mergeCell ref="AU210:AU211"/>
    <mergeCell ref="AV210:AV211"/>
    <mergeCell ref="AW210:AW211"/>
    <mergeCell ref="BA210:BA211"/>
    <mergeCell ref="BB210:BB211"/>
    <mergeCell ref="BC210:BC211"/>
    <mergeCell ref="BD210:BD211"/>
    <mergeCell ref="BH210:BH211"/>
    <mergeCell ref="BI210:BI211"/>
    <mergeCell ref="BJ210:BJ211"/>
    <mergeCell ref="BK210:BK211"/>
    <mergeCell ref="BO210:BO211"/>
    <mergeCell ref="BP210:BP211"/>
    <mergeCell ref="BQ210:BQ211"/>
    <mergeCell ref="BR210:BR211"/>
    <mergeCell ref="BV210:BV211"/>
    <mergeCell ref="BW210:BW211"/>
    <mergeCell ref="BX210:BX211"/>
    <mergeCell ref="BY210:BY211"/>
    <mergeCell ref="CC210:CC211"/>
    <mergeCell ref="CD210:CD211"/>
    <mergeCell ref="CE210:CE211"/>
    <mergeCell ref="CF210:CF211"/>
    <mergeCell ref="CJ210:CJ211"/>
    <mergeCell ref="CK210:CK211"/>
    <mergeCell ref="CL210:CL211"/>
    <mergeCell ref="CM210:CM211"/>
    <mergeCell ref="CQ210:CQ211"/>
    <mergeCell ref="CR210:CR211"/>
    <mergeCell ref="CS210:CS211"/>
    <mergeCell ref="CT210:CT211"/>
    <mergeCell ref="AI224:AI225"/>
    <mergeCell ref="K224:K225"/>
    <mergeCell ref="Y224:Y225"/>
    <mergeCell ref="Z224:Z225"/>
    <mergeCell ref="AA224:AA225"/>
    <mergeCell ref="AB224:AB225"/>
    <mergeCell ref="J223:J226"/>
    <mergeCell ref="Q223:Q226"/>
    <mergeCell ref="V223:AB223"/>
    <mergeCell ref="AC223:CU223"/>
    <mergeCell ref="CV224:CV225"/>
    <mergeCell ref="AG224:AG225"/>
    <mergeCell ref="AH224:AH225"/>
    <mergeCell ref="AF224:AF225"/>
    <mergeCell ref="AM224:AM225"/>
    <mergeCell ref="AN224:AN225"/>
    <mergeCell ref="AO224:AO225"/>
    <mergeCell ref="AP224:AP225"/>
    <mergeCell ref="AT224:AT225"/>
    <mergeCell ref="AU224:AU225"/>
    <mergeCell ref="AV224:AV225"/>
    <mergeCell ref="AW224:AW225"/>
    <mergeCell ref="BA224:BA225"/>
    <mergeCell ref="BB224:BB225"/>
    <mergeCell ref="BC224:BC225"/>
    <mergeCell ref="BD224:BD225"/>
    <mergeCell ref="BH224:BH225"/>
    <mergeCell ref="BI224:BI225"/>
    <mergeCell ref="BJ224:BJ225"/>
    <mergeCell ref="BK224:BK225"/>
    <mergeCell ref="BO224:BO225"/>
    <mergeCell ref="BP224:BP225"/>
    <mergeCell ref="BQ224:BQ225"/>
    <mergeCell ref="BR224:BR225"/>
    <mergeCell ref="BV224:BV225"/>
    <mergeCell ref="BW224:BW225"/>
    <mergeCell ref="BX224:BX225"/>
    <mergeCell ref="BY224:BY225"/>
    <mergeCell ref="CC224:CC225"/>
    <mergeCell ref="CD224:CD225"/>
    <mergeCell ref="CE224:CE225"/>
    <mergeCell ref="CF224:CF225"/>
    <mergeCell ref="CJ224:CJ225"/>
    <mergeCell ref="CK224:CK225"/>
    <mergeCell ref="CL224:CL225"/>
    <mergeCell ref="CM224:CM225"/>
    <mergeCell ref="CQ224:CQ225"/>
    <mergeCell ref="CR224:CR225"/>
    <mergeCell ref="CS224:CS225"/>
    <mergeCell ref="CT224:CT225"/>
    <mergeCell ref="AI238:AI239"/>
    <mergeCell ref="K238:K239"/>
    <mergeCell ref="Y238:Y239"/>
    <mergeCell ref="Z238:Z239"/>
    <mergeCell ref="AA238:AA239"/>
    <mergeCell ref="AB238:AB239"/>
    <mergeCell ref="J237:J240"/>
    <mergeCell ref="Q237:Q240"/>
    <mergeCell ref="V237:AB237"/>
    <mergeCell ref="AC237:CU237"/>
    <mergeCell ref="CV238:CV239"/>
    <mergeCell ref="AG238:AG239"/>
    <mergeCell ref="AH238:AH239"/>
    <mergeCell ref="AF238:AF239"/>
    <mergeCell ref="AM238:AM239"/>
    <mergeCell ref="AN238:AN239"/>
    <mergeCell ref="AO238:AO239"/>
    <mergeCell ref="AP238:AP239"/>
    <mergeCell ref="AT238:AT239"/>
    <mergeCell ref="AU238:AU239"/>
    <mergeCell ref="AV238:AV239"/>
    <mergeCell ref="AW238:AW239"/>
    <mergeCell ref="BA238:BA239"/>
    <mergeCell ref="BB238:BB239"/>
    <mergeCell ref="BC238:BC239"/>
    <mergeCell ref="BD238:BD239"/>
    <mergeCell ref="BH238:BH239"/>
    <mergeCell ref="BI238:BI239"/>
    <mergeCell ref="BJ238:BJ239"/>
    <mergeCell ref="BK238:BK239"/>
    <mergeCell ref="BO238:BO239"/>
    <mergeCell ref="BP238:BP239"/>
    <mergeCell ref="BQ238:BQ239"/>
    <mergeCell ref="BR238:BR239"/>
    <mergeCell ref="BV238:BV239"/>
    <mergeCell ref="BW238:BW239"/>
    <mergeCell ref="BX238:BX239"/>
    <mergeCell ref="BY238:BY239"/>
    <mergeCell ref="CC238:CC239"/>
    <mergeCell ref="CD238:CD239"/>
    <mergeCell ref="CE238:CE239"/>
    <mergeCell ref="CF238:CF239"/>
    <mergeCell ref="CJ238:CJ239"/>
    <mergeCell ref="CK238:CK239"/>
    <mergeCell ref="CL238:CL239"/>
    <mergeCell ref="CM238:CM239"/>
    <mergeCell ref="CQ238:CQ239"/>
    <mergeCell ref="CR238:CR239"/>
    <mergeCell ref="CS238:CS239"/>
    <mergeCell ref="CT238:CT239"/>
    <mergeCell ref="AI252:AI253"/>
    <mergeCell ref="K252:K253"/>
    <mergeCell ref="Y252:Y253"/>
    <mergeCell ref="Z252:Z253"/>
    <mergeCell ref="AA252:AA253"/>
    <mergeCell ref="AB252:AB253"/>
    <mergeCell ref="J251:J254"/>
    <mergeCell ref="Q251:Q254"/>
    <mergeCell ref="V251:AB251"/>
    <mergeCell ref="AC251:CU251"/>
    <mergeCell ref="CV252:CV253"/>
    <mergeCell ref="AG252:AG253"/>
    <mergeCell ref="AH252:AH253"/>
    <mergeCell ref="AF252:AF253"/>
    <mergeCell ref="AM252:AM253"/>
    <mergeCell ref="AN252:AN253"/>
    <mergeCell ref="AO252:AO253"/>
    <mergeCell ref="AP252:AP253"/>
    <mergeCell ref="AT252:AT253"/>
    <mergeCell ref="AU252:AU253"/>
    <mergeCell ref="AV252:AV253"/>
    <mergeCell ref="AW252:AW253"/>
    <mergeCell ref="BA252:BA253"/>
    <mergeCell ref="BB252:BB253"/>
    <mergeCell ref="BC252:BC253"/>
    <mergeCell ref="BD252:BD253"/>
    <mergeCell ref="BH252:BH253"/>
    <mergeCell ref="BI252:BI253"/>
    <mergeCell ref="BJ252:BJ253"/>
    <mergeCell ref="BK252:BK253"/>
    <mergeCell ref="BO252:BO253"/>
    <mergeCell ref="BP252:BP253"/>
    <mergeCell ref="BQ252:BQ253"/>
    <mergeCell ref="BR252:BR253"/>
    <mergeCell ref="BV252:BV253"/>
    <mergeCell ref="BW252:BW253"/>
    <mergeCell ref="BX252:BX253"/>
    <mergeCell ref="BY252:BY253"/>
    <mergeCell ref="CC252:CC253"/>
    <mergeCell ref="CD252:CD253"/>
    <mergeCell ref="CE252:CE253"/>
    <mergeCell ref="CF252:CF253"/>
    <mergeCell ref="CJ252:CJ253"/>
    <mergeCell ref="CK252:CK253"/>
    <mergeCell ref="CL252:CL253"/>
    <mergeCell ref="CM252:CM253"/>
    <mergeCell ref="CQ252:CQ253"/>
    <mergeCell ref="CR252:CR253"/>
    <mergeCell ref="CS252:CS253"/>
    <mergeCell ref="CT252:CT253"/>
    <mergeCell ref="AI266:AI267"/>
    <mergeCell ref="K266:K267"/>
    <mergeCell ref="Y266:Y267"/>
    <mergeCell ref="Z266:Z267"/>
    <mergeCell ref="AA266:AA267"/>
    <mergeCell ref="AB266:AB267"/>
    <mergeCell ref="J265:J268"/>
    <mergeCell ref="Q265:Q268"/>
    <mergeCell ref="V265:AB265"/>
    <mergeCell ref="AC265:CU265"/>
    <mergeCell ref="CV266:CV267"/>
    <mergeCell ref="AG266:AG267"/>
    <mergeCell ref="AH266:AH267"/>
    <mergeCell ref="AF266:AF267"/>
    <mergeCell ref="AM266:AM267"/>
    <mergeCell ref="AN266:AN267"/>
    <mergeCell ref="AO266:AO267"/>
    <mergeCell ref="AP266:AP267"/>
    <mergeCell ref="AT266:AT267"/>
    <mergeCell ref="AU266:AU267"/>
    <mergeCell ref="AV266:AV267"/>
    <mergeCell ref="AW266:AW267"/>
    <mergeCell ref="BA266:BA267"/>
    <mergeCell ref="BB266:BB267"/>
    <mergeCell ref="BC266:BC267"/>
    <mergeCell ref="BD266:BD267"/>
    <mergeCell ref="BH266:BH267"/>
    <mergeCell ref="BI266:BI267"/>
    <mergeCell ref="BJ266:BJ267"/>
    <mergeCell ref="BK266:BK267"/>
    <mergeCell ref="BO266:BO267"/>
    <mergeCell ref="BP266:BP267"/>
    <mergeCell ref="BQ266:BQ267"/>
    <mergeCell ref="BR266:BR267"/>
    <mergeCell ref="BV266:BV267"/>
    <mergeCell ref="BW266:BW267"/>
    <mergeCell ref="BX266:BX267"/>
    <mergeCell ref="BY266:BY267"/>
    <mergeCell ref="CC266:CC267"/>
    <mergeCell ref="CD266:CD267"/>
    <mergeCell ref="CE266:CE267"/>
    <mergeCell ref="CF266:CF267"/>
    <mergeCell ref="CJ266:CJ267"/>
    <mergeCell ref="CK266:CK267"/>
    <mergeCell ref="CL266:CL267"/>
    <mergeCell ref="CM266:CM267"/>
    <mergeCell ref="CQ266:CQ267"/>
    <mergeCell ref="CR266:CR267"/>
    <mergeCell ref="CS266:CS267"/>
    <mergeCell ref="CT266:CT267"/>
    <mergeCell ref="AI280:AI281"/>
    <mergeCell ref="K280:K281"/>
    <mergeCell ref="Y280:Y281"/>
    <mergeCell ref="Z280:Z281"/>
    <mergeCell ref="AA280:AA281"/>
    <mergeCell ref="AB280:AB281"/>
    <mergeCell ref="J279:J282"/>
    <mergeCell ref="Q279:Q282"/>
    <mergeCell ref="V279:AB279"/>
    <mergeCell ref="AC279:CU279"/>
    <mergeCell ref="CV280:CV281"/>
    <mergeCell ref="AG280:AG281"/>
    <mergeCell ref="AH280:AH281"/>
    <mergeCell ref="AF280:AF281"/>
    <mergeCell ref="AM280:AM281"/>
    <mergeCell ref="AN280:AN281"/>
    <mergeCell ref="AO280:AO281"/>
    <mergeCell ref="AP280:AP281"/>
    <mergeCell ref="AT280:AT281"/>
    <mergeCell ref="AU280:AU281"/>
    <mergeCell ref="AV280:AV281"/>
    <mergeCell ref="AW280:AW281"/>
    <mergeCell ref="BA280:BA281"/>
    <mergeCell ref="BB280:BB281"/>
    <mergeCell ref="BC280:BC281"/>
    <mergeCell ref="BD280:BD281"/>
    <mergeCell ref="BH280:BH281"/>
    <mergeCell ref="BI280:BI281"/>
    <mergeCell ref="BJ280:BJ281"/>
    <mergeCell ref="BK280:BK281"/>
    <mergeCell ref="BO280:BO281"/>
    <mergeCell ref="BP280:BP281"/>
    <mergeCell ref="BQ280:BQ281"/>
    <mergeCell ref="BR280:BR281"/>
    <mergeCell ref="BV280:BV281"/>
    <mergeCell ref="BW280:BW281"/>
    <mergeCell ref="BX280:BX281"/>
    <mergeCell ref="BY280:BY281"/>
    <mergeCell ref="CC280:CC281"/>
    <mergeCell ref="CD280:CD281"/>
    <mergeCell ref="CE280:CE281"/>
    <mergeCell ref="CF280:CF281"/>
    <mergeCell ref="CJ280:CJ281"/>
    <mergeCell ref="CK280:CK281"/>
    <mergeCell ref="CL280:CL281"/>
    <mergeCell ref="CM280:CM281"/>
    <mergeCell ref="CQ280:CQ281"/>
    <mergeCell ref="CR280:CR281"/>
    <mergeCell ref="CS280:CS281"/>
    <mergeCell ref="CT280:CT281"/>
    <mergeCell ref="AI292:AI293"/>
    <mergeCell ref="K292:K293"/>
    <mergeCell ref="Y292:Y293"/>
    <mergeCell ref="Z292:Z293"/>
    <mergeCell ref="AA292:AA293"/>
    <mergeCell ref="AB292:AB293"/>
    <mergeCell ref="J291:J294"/>
    <mergeCell ref="Q291:Q294"/>
    <mergeCell ref="V291:AB291"/>
    <mergeCell ref="AC291:CU291"/>
    <mergeCell ref="CV292:CV293"/>
    <mergeCell ref="AG292:AG293"/>
    <mergeCell ref="AH292:AH293"/>
    <mergeCell ref="AF292:AF293"/>
    <mergeCell ref="AM292:AM293"/>
    <mergeCell ref="AN292:AN293"/>
    <mergeCell ref="AO292:AO293"/>
    <mergeCell ref="AP292:AP293"/>
    <mergeCell ref="AT292:AT293"/>
    <mergeCell ref="AU292:AU293"/>
    <mergeCell ref="AV292:AV293"/>
    <mergeCell ref="AW292:AW293"/>
    <mergeCell ref="BA292:BA293"/>
    <mergeCell ref="BB292:BB293"/>
    <mergeCell ref="BC292:BC293"/>
    <mergeCell ref="BD292:BD293"/>
    <mergeCell ref="BH292:BH293"/>
    <mergeCell ref="BI292:BI293"/>
    <mergeCell ref="BJ292:BJ293"/>
    <mergeCell ref="BK292:BK293"/>
    <mergeCell ref="BO292:BO293"/>
    <mergeCell ref="BP292:BP293"/>
    <mergeCell ref="BQ292:BQ293"/>
    <mergeCell ref="BR292:BR293"/>
    <mergeCell ref="BV292:BV293"/>
    <mergeCell ref="BW292:BW293"/>
    <mergeCell ref="BX292:BX293"/>
    <mergeCell ref="BY292:BY293"/>
    <mergeCell ref="CC292:CC293"/>
    <mergeCell ref="CD292:CD293"/>
    <mergeCell ref="CE292:CE293"/>
    <mergeCell ref="CF292:CF293"/>
    <mergeCell ref="CJ292:CJ293"/>
    <mergeCell ref="CK292:CK293"/>
    <mergeCell ref="CL292:CL293"/>
    <mergeCell ref="CM292:CM293"/>
    <mergeCell ref="CQ292:CQ293"/>
    <mergeCell ref="CR292:CR293"/>
    <mergeCell ref="CS292:CS293"/>
    <mergeCell ref="CT292:CT293"/>
    <mergeCell ref="AI306:AI307"/>
    <mergeCell ref="K306:K307"/>
    <mergeCell ref="Y306:Y307"/>
    <mergeCell ref="Z306:Z307"/>
    <mergeCell ref="AA306:AA307"/>
    <mergeCell ref="AB306:AB307"/>
    <mergeCell ref="J305:J308"/>
    <mergeCell ref="Q305:Q308"/>
    <mergeCell ref="V305:AB305"/>
    <mergeCell ref="AC305:CU305"/>
    <mergeCell ref="CV306:CV307"/>
    <mergeCell ref="AG306:AG307"/>
    <mergeCell ref="AH306:AH307"/>
    <mergeCell ref="AF306:AF307"/>
    <mergeCell ref="AM306:AM307"/>
    <mergeCell ref="AN306:AN307"/>
    <mergeCell ref="AO306:AO307"/>
    <mergeCell ref="AP306:AP307"/>
    <mergeCell ref="AT306:AT307"/>
    <mergeCell ref="AU306:AU307"/>
    <mergeCell ref="AV306:AV307"/>
    <mergeCell ref="AW306:AW307"/>
    <mergeCell ref="BA306:BA307"/>
    <mergeCell ref="BB306:BB307"/>
    <mergeCell ref="BC306:BC307"/>
    <mergeCell ref="BD306:BD307"/>
    <mergeCell ref="BH306:BH307"/>
    <mergeCell ref="BI306:BI307"/>
    <mergeCell ref="BJ306:BJ307"/>
    <mergeCell ref="BK306:BK307"/>
    <mergeCell ref="BO306:BO307"/>
    <mergeCell ref="BP306:BP307"/>
    <mergeCell ref="BQ306:BQ307"/>
    <mergeCell ref="BR306:BR307"/>
    <mergeCell ref="BV306:BV307"/>
    <mergeCell ref="BW306:BW307"/>
    <mergeCell ref="BX306:BX307"/>
    <mergeCell ref="BY306:BY307"/>
    <mergeCell ref="CC306:CC307"/>
    <mergeCell ref="CD306:CD307"/>
    <mergeCell ref="CE306:CE307"/>
    <mergeCell ref="CF306:CF307"/>
    <mergeCell ref="CJ306:CJ307"/>
    <mergeCell ref="CK306:CK307"/>
    <mergeCell ref="CL306:CL307"/>
    <mergeCell ref="CM306:CM307"/>
    <mergeCell ref="CQ306:CQ307"/>
    <mergeCell ref="CR306:CR307"/>
    <mergeCell ref="CS306:CS307"/>
    <mergeCell ref="CT306:CT307"/>
    <mergeCell ref="AI318:AI319"/>
    <mergeCell ref="K318:K319"/>
    <mergeCell ref="Y318:Y319"/>
    <mergeCell ref="Z318:Z319"/>
    <mergeCell ref="AA318:AA319"/>
    <mergeCell ref="AB318:AB319"/>
    <mergeCell ref="J317:J320"/>
    <mergeCell ref="Q317:Q320"/>
    <mergeCell ref="V317:AB317"/>
    <mergeCell ref="AC317:CU317"/>
    <mergeCell ref="CV318:CV319"/>
    <mergeCell ref="AG318:AG319"/>
    <mergeCell ref="AH318:AH319"/>
    <mergeCell ref="AF318:AF319"/>
    <mergeCell ref="AM318:AM319"/>
    <mergeCell ref="AN318:AN319"/>
    <mergeCell ref="AO318:AO319"/>
    <mergeCell ref="AP318:AP319"/>
    <mergeCell ref="AT318:AT319"/>
    <mergeCell ref="AU318:AU319"/>
    <mergeCell ref="AV318:AV319"/>
    <mergeCell ref="AW318:AW319"/>
    <mergeCell ref="BA318:BA319"/>
    <mergeCell ref="BB318:BB319"/>
    <mergeCell ref="BC318:BC319"/>
    <mergeCell ref="BD318:BD319"/>
    <mergeCell ref="BH318:BH319"/>
    <mergeCell ref="BI318:BI319"/>
    <mergeCell ref="BJ318:BJ319"/>
    <mergeCell ref="BK318:BK319"/>
    <mergeCell ref="BO318:BO319"/>
    <mergeCell ref="BP318:BP319"/>
    <mergeCell ref="BQ318:BQ319"/>
    <mergeCell ref="BR318:BR319"/>
    <mergeCell ref="BV318:BV319"/>
    <mergeCell ref="BW318:BW319"/>
    <mergeCell ref="BX318:BX319"/>
    <mergeCell ref="BY318:BY319"/>
    <mergeCell ref="CC318:CC319"/>
    <mergeCell ref="CD318:CD319"/>
    <mergeCell ref="CE318:CE319"/>
    <mergeCell ref="CF318:CF319"/>
    <mergeCell ref="CJ318:CJ319"/>
    <mergeCell ref="CK318:CK319"/>
    <mergeCell ref="CL318:CL319"/>
    <mergeCell ref="CM318:CM319"/>
    <mergeCell ref="CQ318:CQ319"/>
    <mergeCell ref="CR318:CR319"/>
    <mergeCell ref="CS318:CS319"/>
    <mergeCell ref="CT318:CT319"/>
  </mergeCells>
  <dataValidations count="8">
    <dataValidation allowBlank="1" promptTitle="checkPeriodRange" sqref="X65851 X131387 X196923 X262459 X327995 X393531 X459067 X524603 X590139 X655675 X721211 X786747 X852283 X917819 X983355 AE16 AE65851 AE131387 AE196923 AE262459 AE327995 AE393531 AE459067 AE524603 AE590139 AE655675 AE721211 AE786747 AE852283 AE917819 AE983355 AE47 AE8 X8 X47 X51 AE51 AL8 AL47 AL51 AS8 AS47 AS51 AZ8 AZ47 AZ51 BG8 BG47 BG51 BN8 BN47 BN51 BU8 BU47 BU51 CB8 CB47 CB51 CI8 CI47 CI51 X61 AE61 AL61 AS61 AZ61 BG61 BN61 BU61 CB61 CI61 X75 AE75 AL75 AS75 AZ75 BG75 BN75 BU75 CB75 CI75 X89 AE89 AL89 AS89 AZ89 BG89 BN89 BU89 CB89 CI89 X103 AE103 AL103 AS103 AZ103 BG103 BN103 BU103 CB103 CI103 X115 AE115 AL115 AS115 AZ115 BG115 BN115 BU115 CB115 CI115 X127 AE127 AL127 AS127 AZ127 BG127 BN127 BU127 CB127 CI127 X139 AE139 AL139 AS139 AZ139 BG139 BN139 BU139 CB139 CI139 X165 AE165 AL165 AS165 AZ165 BG165 BN165 BU165 CB165 CI165 X179 AE179 AL179 AS179 AZ179 BG179 BN179 BU179 CB179 CI179 X193 AE193 AL193 AS193 AZ193 BG193 BN193 BU193 CB193 CI193 X207 AE207 AL207 AS207 AZ207 BG207 BN207 BU207 CB207 CI207 X221 AE221 AL221 AS221 AZ221 BG221 BN221 BU221 CB221 CI221 X235 AE235 AL235 AS235 AZ235 BG235 BN235 BU235 CB235 CI235 X249 AE249 AL249 AS249 AZ249 BG249 BN249 BU249 CB249 CI249 X263 AE263 AL263 AS263 AZ263 BG263 BN263 BU263 CB263 CI263 X277 AE277 AL277 AS277 AZ277 BG277 BN277 BU277 CB277 CI277 X303 AE303 AL303 AS303 AZ303 BG303 BN303 BU303 CB303 CI303 X289 AE289 AL289 AS289 AZ289 BG289 BN289 BU289 CB289 CI289 X315 AE315 AL315 AS315 AZ315 BG315 BN315 BU315 CB315 CI315 CP8 CP47 CP51 CP61 CP75 CP89 CP103 CP115 CP127 CP139 CP165 CP179 CP193 CP207 CP221 CP235 CP249 CP263 CP277 CP289 CP303 CP315 X65 AE65 AL65 AS65 AZ65 BG65 BN65 BU65 CB65 CI65 CP65 X79 AE79 AL79 AS79 AZ79 BG79 BN79 BU79 CB79 CI79 CP79 X93 AE93 AL93 AS93 AZ93 BG93 BN93 BU93 CB93 CI93 CP93 X107 AE107 AL107 AS107 AZ107 BG107 BN107 BU107 CB107 CI107 CP107 X119 AE119 AL119 AS119 AZ119 BG119 BN119 BU119 CB119 CI119 CP119 X151 AE151 AL151 AS151 AZ151 BG151 BN151 BU151 CB151 CI151 CP151 X131 AE131 AL131 AS131 AZ131 BG131 BN131 BU131 CB131 CI131 CP131 X143 AE143 AL143 AS143 AZ143 BG143 BN143 BU143 CB143 CI143 CP143 X155 AE155 AL155 AS155 AZ155 BG155 BN155 BU155 CB155 CI155 CP155 X169 AE169 AL169 AS169 AZ169 BG169 BN169 BU169 CB169 CI169 CP169 X183 AE183 AL183 AS183 AZ183 BG183 BN183 BU183 CB183 CI183 CP183 X197 AE197 AL197 AS197 AZ197 BG197 BN197 BU197 CB197 CI197 CP197 X211 AE211 AL211 AS211 AZ211 BG211 BN211 BU211 CB211 CI211 CP211 X225 AE225 AL225 AS225 AZ225 BG225 BN225 BU225 CB225 CI225 CP225 X239 AE239 AL239 AS239 AZ239 BG239 BN239 BU239 CB239 CI239 CP239 X253 AE253 AL253 AS253 AZ253 BG253 BN253 BU253 CB253 CI253 CP253 X267 AE267 AL267 AS267 AZ267 BG267 BN267 BU267 CB267 CI267 CP267 X281 AE281 AL281 AS281 AZ281 BG281 BN281 BU281 CB281 CI281 CP281 X293 AE293 AL293 AS293 AZ293 BG293 BN293 BU293 CB293 CI293 CP293 X307 AE307 AL307 AS307 AZ307 BG307 BN307 BU307 CB307 CI307 CP307 X319 AE319 AL319 AS319 AZ319 BG319 BN319 BU319 CB319 CI319 CP319"/>
    <dataValidation type="list" allowBlank="1" showInputMessage="1" showErrorMessage="1" errorTitle="Ошибка" error="Выберите значение из списка" sqref="V983352 V65848 V131384 V196920 V262456 V327992 V393528 V459064 V524600 V590136 V655672 V721208 V786744 V852280 V917816 AC983352 AC65848 AC131384 AC196920 AC262456 AC327992 AC393528 AC459064 AC524600 AC590136 AC655672 AC721208 AC786744 AC852280 AC917816">
      <formula1>kind_of_scheme_in</formula1>
    </dataValidation>
    <dataValidation type="textLength" operator="lessThanOrEqual" allowBlank="1" showInputMessage="1" showErrorMessage="1" errorTitle="Ошибка" error="Допускается ввод не более 900 символов!" sqref="CV65844:CV65851 CV131380:CV131387 CV196916:CV196923 CV262452:CV262459 CV327988:CV327995 CV393524:CV393531 CV459060:CV459067 CV524596:CV524603 CV590132:CV590139 CV655668:CV655675 CV721204:CV721211 CV786740:CV786747 CV852276:CV852283 CV917812:CV917819 CV983348:CV983355 T46 T7 AC5:AI5 CU5 AC44:AI44 CU44 T50 AC58 AD58 AE58 AF58 AG58 AH58 AI58 CU58 T60 AC72 AD72 AE72 AF72 AG72 AH72 AI72 CU72 T74 AC86 AD86 AE86 AF86 AG86 AH86 AI86 CU86 T88 AC100 AD100 AE100 AF100 AG100 AH100 AI100 CU100 T102 AC112 AD112 AE112 AF112 AG112 AH112 AI112 CU112 T114 AC124 AD124 AE124 AF124 AG124 AH124 AI124 CU124 T126 AC136 AD136 AE136 AF136 AG136 AH136 AI136 CU136 T138 AC162 AD162 AE162 AF162 AG162 AH162 AI162 CU162 T164 AC176 AD176 AE176 AF176 AG176 AH176 AI176 CU176 T178 AC190 AD190 AE190 AF190 AG190 AH190 AI190 CU190 T192 AC204 AD204 AE204 AF204 AG204 AH204 AI204 CU204 T206 AC218 AD218 AE218 AF218 AG218 AH218 AI218 CU218 T220 AC232 AD232 AE232 AF232 AG232 AH232 AI232 CU232 T234 AC246 AD246 AE246 AF246 AG246 AH246 AI246 CU246 T248 AC260 AD260 AE260 AF260 AG260 AH260 AI260 CU260 T262 AC274 AD274 AE274 AF274 AG274 AH274 AI274 CU274 T276 AC300 AD300 AE300 AF300 AG300 AH300 AI300 CU300 T302 AC286 AD286 AE286 AF286 AG286 AH286 AI286 CU286 T288 AC312 AD312 AE312 AF312 AG312 AH312 AI312 CU312 T314 T64 T78 T92 T106 T118 AC148 AD148 AE148 AF148 AG148 AH148 AI148 CU148 T150 T130 T142 T154 T168 T182 T196 T210 T224 T238 T252 T266 T280 T292 T306 T318">
      <formula1>900</formula1>
    </dataValidation>
    <dataValidation type="list" allowBlank="1" showInputMessage="1" showErrorMessage="1" errorTitle="Ошибка" error="Выберите значение из списка" sqref="T65850 T131386 T196922 T262458 T327994 T393530 T459066 T524602 T590138 T655674 T721210 T786746 T852282 T917818 T98335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850 Y131386 Y196922 Y262458 Y327994 Y393530 Y459066 Y524602 Y590138 Y655674 Y721210 Y786746 Y852282 Y917818 Y983354 AA65850 AA131386 AA196922 AA262458 AA327994 AA393530 AA459066 AA524602 AA590138 AA655674 AA721210 AA786746 AA852282 AA917818 AA983354 AF15 AF65850 AF131386 AF196922 AF262458 AF327994 AF393530 AF459066 AF524602 AF590138 AF655674 AF721210 AF786746 AF852282 AF917818 AF983354 AH65850 AH131386 AH196922 AH262458 AH327994 AH393530 AH459066 AH524602 AH590138 AH655674 AH721210 AH786746 AH852282 AH917818 AH983354 AH46 AF46 AH15 AH7 AF7 Y7 AA7 Y46 AA46 Y50 AA50 AF50 AH50 AM7 AO7 AM46 AO46 AM50 AO50 AT7 AV7 AT46 AV46 AT50 AV50 BA7 BC7 BA46 BC46 BA50 BC50 BH7 BJ7 BH46 BJ46 BH50 BJ50 BO7 BQ7 BO46 BQ46 BO50 BQ50 BV7 BX7 BV46 BX46 BV50 BX50 CC7 CE7 CC46 CE46 CC50 CE50 CJ7 CL7 CJ46 CL46 CJ50 CL50 Y60 AA60 AF60 AH60 AM60 AO60 AT60 AV60 BA60 BC60 BH60 BJ60 BO60 BQ60 BV60 BX60 CC60 CE60 CJ60 CL60 Y74 AA74 AF74 AH74 AM74 AO74 AT74 AV74 BA74 BC74 BH74 BJ74 BO74 BQ74 BV74 BX74 CC74 CE74 CJ74 CL74 Y88 AA88 AF88 AH88 AM88 AO88 AT88 AV88 BA88 BC88 BH88 BJ88 BO88 BQ88 BV88 BX88 CC88 CE88 CJ88 CL88 Y102 AA102 AF102 AH102 AM102 AO102 AT102 AV102 BA102 BC102 BH102 BJ102 BO102 BQ102 BV102 BX102 CC102 CE102 CJ102 CL102 Y114 AA114 AF114 AH114 AM114 AO114 AT114 AV114 BA114 BC114 BH114 BJ114 BO114 BQ114 BV114 BX114 CC114 CE114 CJ114 CL114 Y126 AA126 AF126 AH126 AM126 AO126 AT126 AV126 BA126 BC126 BH126 BJ126 BO126 BQ126 BV126 BX126 CC126 CE126 CJ126 CL126 Y138 AA138 AF138 AH138 AM138 AO138 AT138 AV138 BA138 BC138 BH138 BJ138 BO138 BQ138 BV138 BX138 CC138 CE138 CJ138 CL138 Y164 AA164 AF164 AH164 AM164 AO164 AT164 AV164 BA164 BC164 BH164 BJ164 BO164 BQ164 BV164 BX164 CC164 CE164 CJ164 CL164 Y178 AA178 AF178 AH178 AM178 AO178 AT178 AV178 BA178 BC178 BH178 BJ178 BO178 BQ178 BV178 BX178 CC178 CE178 CJ178 CL178 Y192 AA192 AF192 AH192 AM192 AO192 AT192 AV192 BA192 BC192 BH192 BJ192 BO192 BQ192 BV192 BX192 CC192 CE192 CJ192 CL192 Y206 AA206 AF206 AH206 AM206 AO206 AT206 AV206 BA206 BC206 BH206 BJ206 BO206 BQ206 BV206 BX206 CC206 CE206 CJ206 CL206 Y220 AA220 AF220 AH220 AM220 AO220 AT220 AV220 BA220 BC220 BH220 BJ220 BO220 BQ220 BV220 BX220 CC220 CE220 CJ220 CL220 Y234 AA234 AF234 AH234 AM234 AO234 AT234 AV234 BA234 BC234 BH234 BJ234 BO234 BQ234 BV234 BX234 CC234 CE234 CJ234 CL234 Y248 AA248 AF248 AH248 AM248 AO248 AT248 AV248 BA248 BC248 BH248 BJ248 BO248 BQ248 BV248 BX248 CC248 CE248 CJ248 CL248 Y262 AA262 AF262 AH262 AM262 AO262 AT262 AV262 BA262 BC262 BH262 BJ262 BO262 BQ262 BV262 BX262 CC262 CE262 CJ262 CL262 Y276 AA276 AF276 AH276 AM276 AO276 AT276 AV276 BA276 BC276 BH276 BJ276 BO276 BQ276 BV276 BX276 CC276 CE276 CJ276 CL276 Y302 AA302 AF302 AH302 AM302 AO302 AT302 AV302 BA302 BC302 BH302 BJ302 BO302 BQ302 BV302 BX302 CC302 CE302 CJ302 CL302 Y288 AA288 AF288 AH288 AM288 AO288 AT288 AV288 BA288 BC288 BH288 BJ288 BO288 BQ288 BV288 BX288 CC288 CE288 CJ288 CL288 Y314 AA314 AF314 AH314 AM314 AO314 AT314 AV314 BA314 BC314 BH314 BJ314 BO314 BQ314 BV314 BX314 CC314 CE314 CJ314 CL314 CQ7 CS7 CQ46 CS46 CQ50 CS50 CQ60 CS60 CQ74 CS74 CQ88 CS88 CQ102 CS102 CQ114 CS114 CQ126 CS126 CQ138 CS138 CQ164 CS164 CQ178 CS178 CQ192 CS192 CQ206 CS206 CQ220 CS220 CQ234 CS234 CQ248 CS248 CQ262 CS262 CQ276 CS276 CQ288 CS288 CQ302 CS302 CQ314 CS314 Y64 AA64 AF64 AH64 AM64 AO64 AT64 AV64 BA64 BC64 BH64 BJ64 BO64 BQ64 BV64 BX64 CC64 CE64 CJ64 CL64 CQ64 CS64 Y78 AA78 AF78 AH78 AM78 AO78 AT78 AV78 BA78 BC78 BH78 BJ78 BO78 BQ78 BV78 BX78 CC78 CE78 CJ78 CL78 CQ78 CS78 Y92 AA92 AF92 AH92 AM92 AO92 AT92 AV92 BA92 BC92 BH92 BJ92 BO92 BQ92 BV92 BX92 CC92 CE92 CJ92 CL92 CQ92 CS92 Y106 AA106 AF106 AH106 AM106 AO106 AT106 AV106 BA106 BC106 BH106 BJ106 BO106 BQ106 BV106 BX106 CC106 CE106 CJ106 CL106 CQ106 CS106 Y118 AA118 AF118 AH118 AM118 AO118 AT118 AV118 BA118 BC118 BH118 BJ118 BO118 BQ118 BV118 BX118 CC118 CE118 CJ118 CL118 CQ118 CS118 Y150 AA150 AF150 AH150 AM150 AO150 AT150 AV150 BA150 BC150 BH150 BJ150 BO150 BQ150 BV150 BX150 CC150 CE150 CJ150 CL150 CQ150 CS150 Y130 AA130 AF130 AH130 AM130 AO130 AT130 AV130 BA130 BC130 BH130 BJ130 BO130 BQ130 BV130 BX130 CC130 CE130 CJ130 CL130 CQ130 CS130 Y142 AA142 AF142 AH142 AM142 AO142 AT142 AV142 BA142 BC142 BH142 BJ142 BO142 BQ142 BV142 BX142 CC142 CE142 CJ142 CL142 CQ142 CS142 Y154 AA154 AF154 AH154 AM154 AO154 AT154 AV154 BA154 BC154 BH154 BJ154 BO154 BQ154 BV154 BX154 CC154 CE154 CJ154 CL154 CQ154 CS154 Y168 AA168 AF168 AH168 AM168 AO168 AT168 AV168 BA168 BC168 BH168 BJ168 BO168 BQ168 BV168 BX168 CC168 CE168 CJ168 CL168 CQ168 CS168 Y182 AA182 AF182 AH182 AM182 AO182 AT182 AV182 BA182 BC182 BH182 BJ182 BO182 BQ182 BV182 BX182 CC182 CE182 CJ182 CL182 CQ182 CS182 Y196 AA196 AF196 AH196 AM196 AO196 AT196 AV196 BA196 BC196 BH196 BJ196 BO196 BQ196 BV196 BX196 CC196 CE196 CJ196 CL196 CQ196 CS196 Y210 AA210 AF210 AH210 AM210 AO210 AT210 AV210 BA210 BC210 BH210 BJ210 BO210 BQ210 BV210 BX210 CC210 CE210 CJ210 CL210 CQ210 CS210 Y224 AA224 AF224 AH224 AM224 AO224 AT224 AV224 BA224 BC224 BH224 BJ224 BO224 BQ224 BV224 BX224 CC224 CE224 CJ224 CL224 CQ224 CS224 Y238 AA238 AF238 AH238 AM238 AO238 AT238 AV238 BA238 BC238 BH238 BJ238 BO238 BQ238 BV238 BX238 CC238 CE238 CJ238 CL238 CQ238 CS238 Y252 AA252 AF252 AH252 AM252 AO252 AT252 AV252 BA252 BC252 BH252 BJ252 BO252 BQ252 BV252 BX252 CC252 CE252 CJ252 CL252 CQ252 CS252 Y266 AA266 AF266 AH266 AM266 AO266 AT266 AV266 BA266 BC266 BH266 BJ266 BO266 BQ266 BV266 BX266 CC266 CE266 CJ266 CL266 CQ266 CS266 Y280 AA280 AF280 AH280 AM280 AO280 AT280 AV280 BA280 BC280 BH280 BJ280 BO280 BQ280 BV280 BX280 CC280 CE280 CJ280 CL280 CQ280 CS280 Y292 AA292 AF292 AH292 AM292 AO292 AT292 AV292 BA292 BC292 BH292 BJ292 BO292 BQ292 BV292 BX292 CC292 CE292 CJ292 CL292 CQ292 CS292 Y306 AA306 AF306 AH306 AM306 AO306 AT306 AV306 BA306 BC306 BH306 BJ306 BO306 BQ306 BV306 BX306 CC306 CE306 CJ306 CL306 CQ306 CS306 Y318 AA318 AF318 AH318 AM318 AO318 AT318 AV318 BA318 BC318 BH318 BJ318 BO318 BQ318 BV318 BX318 CC318 CE318 CJ318 CL318 CQ318 CS318"/>
    <dataValidation allowBlank="1" showInputMessage="1" showErrorMessage="1" prompt="Для выбора выполните двойной щелчок левой клавиши мыши по соответствующей ячейке." sqref="Z65850 Z131386 Z196922 Z262458 Z327994 Z393530 Z459066 Z524602 Z590138 Z655674 Z721210 Z786746 Z852282 Z917818 Z983354 AB131386 AB459066 AB196922 AB262458 AB327994 AB393530 AB524602 AB590138 AB655674 AB721210 AB786746 AB852282 AB917818 AB983354 AB65850 AG65850 AG131386 AG196922 AG262458 AG327994 AG393530 AG459066 AG524602 AG590138 AG655674 AG721210 AG786746 AG852282 AG917818 AG983354 AI524602:CT524602 AI196922:CT196922 AI590138:CT590138 AI655674:CT655674 AI15 AI721210:CT721210 AI786746:CT786746 AI852282:CT852282 AI917818:CT917818 AI983354:CT983354 AI65850:CT65850 AI131386:CT131386 AI459066:CT459066 AI262458:CT262458 AI7 AN7 AP7 AU7 AW7 BB7 BD7 BI7 BK7 BP7 BR7 BW7 BY7 CD7 CF7 CK7 CM7 CR7 CT7 AG46 AI327994:CT327994 AG15 AG7 Z7 AB7 AI393530:CT393530 AI46 AN46 AP46 AU46 AW46 BB46 BD46 BI46 BK46 BP46 BR46 BW46 BY46 CD46 CF46 CK46 CM46 CR46 CT46 Z46 AB46 Z50 AB50 AG50 AI50 AN50 AP50 AU50 AW50 BB50 BD50 BI50 BK50 BP50 BR50 BW50 BY50 CD50 CF50 CK50 CM50 CR50 CT50 Z60 AB60 AG60 AI60 AN60 AP60 AU60 AW60 BB60 BD60 BI60 BK60 BP60 BR60 BW60 BY60 CD60 CF60 CK60 CM60 CR60 CT60 Z74 AB74 AG74 AI74 AN74 AP74 AU74 AW74 BB74 BD74 BI74 BK74 BP74 BR74 BW74 BY74 CD74 CF74 CK74 CM74 CR74 CT74 Z88 AB88 AG88 AI88 AN88 AP88 AU88 AW88 BB88 BD88 BI88 BK88 BP88 BR88 BW88 BY88 CD88 CF88 CK88 CM88 CR88 CT88 Z102 AB102 AG102 AI102 AN102 AP102 AU102 AW102 BB102 BD102 BI102 BK102 BP102 BR102 BW102 BY102 CD102 CF102 CK102 CM102 CR102 CT102 Z114 AB114 AG114 AI114 AN114 AP114 AU114 AW114 BB114 BD114 BI114 BK114 BP114 BR114 BW114 BY114 CD114 CF114 CK114 CM114 CR114 CT114 Z126 AB126 AG126 AI126 AN126 AP126 AU126 AW126 BB126 BD126 BI126 BK126 BP126 BR126 BW126 BY126 CD126 CF126 CK126 CM126 CR126 CT126 Z138 AB138 AG138 AI138 AN138 AP138 AU138 AW138 BB138 BD138 BI138 BK138 BP138 BR138 BW138 BY138 CD138 CF138 CK138 CM138 CR138 CT138 Z164 AB164 AG164 AI164 AN164 AP164 AU164 AW164 BB164 BD164 BI164 BK164 BP164 BR164 BW164 BY164 CD164 CF164 CK164 CM164 CR164 CT164 Z178 AB178 AG178 AI178 AN178 AP178 AU178 AW178 BB178 BD178 BI178 BK178 BP178 BR178 BW178 BY178 CD178 CF178 CK178 CM178 CR178 CT178 Z192 AB192 AG192 AI192 AN192 AP192 AU192 AW192 BB192 BD192 BI192 BK192 BP192 BR192 BW192 BY192 CD192 CF192 CK192 CM192 CR192 CT192 Z206 AB206 AG206 AI206 AN206 AP206 AU206 AW206 BB206 BD206 BI206 BK206 BP206 BR206 BW206 BY206 CD206 CF206 CK206 CM206 CR206 CT206 Z220 AB220 AG220 AI220 AN220 AP220 AU220 AW220 BB220 BD220 BI220 BK220 BP220 BR220 BW220 BY220 CD220 CF220 CK220 CM220 CR220 CT220 Z234 AB234 AG234 AI234 AN234 AP234 AU234 AW234 BB234 BD234 BI234 BK234 BP234 BR234 BW234 BY234 CD234 CF234 CK234 CM234 CR234 CT234 Z248 AB248 AG248 AI248 AN248 AP248 AU248 AW248 BB248 BD248 BI248 BK248 BP248 BR248 BW248 BY248 CD248 CF248 CK248 CM248 CR248 CT248 Z262 AB262 AG262 AI262 AN262 AP262 AU262 AW262 BB262 BD262 BI262 BK262 BP262 BR262 BW262 BY262 CD262 CF262 CK262 CM262 CR262 CT262 Z276 AB276 AG276 AI276 AN276 AP276 AU276 AW276 BB276 BD276 BI276 BK276 BP276 BR276 BW276 BY276 CD276 CF276 CK276 CM276 CR276 CT276 Z302 AB302 AG302 AI302 AN302 AP302 AU302 AW302 BB302 BD302 BI302 BK302 BP302 BR302 BW302 BY302 CD302 CF302 CK302 CM302 CR302 CT302 Z288 AB288 AG288 AI288 AN288 AP288 AU288 AW288 BB288 BD288 BI288 BK288 BP288 BR288 BW288 BY288 CD288 CF288 CK288 CM288 CR288 CT288 Z314 AB314 AG314 AI314 AN314 AP314 AU314 AW314 BB314 BD314 BI314 BK314 BP314 BR314 BW314 BY314 CD314 CF314 CK314 CM314 CR314 CT314 Z64 AB64 AG64 AI64 AN64 AP64 AU64 AW64 BB64 BD64 BI64 BK64 BP64 BR64 BW64 BY64 CD64 CF64 CK64 CM64 CR64 CT64 Z78 AB78 AG78 AI78 AN78 AP78 AU78 AW78 BB78 BD78 BI78 BK78 BP78 BR78 BW78 BY78 CD78 CF78 CK78 CM78 CR78 CT78 Z92 AB92 AG92 AI92 AN92 AP92 AU92 AW92 BB92 BD92 BI92 BK92 BP92 BR92 BW92 BY92 CD92 CF92 CK92 CM92 CR92 CT92 Z106 AB106 AG106 AI106 AN106 AP106 AU106 AW106 BB106 BD106 BI106 BK106 BP106 BR106 BW106 BY106 CD106 CF106 CK106 CM106 CR106 CT106 Z118 AB118 AG118 AI118 AN118 AP118 AU118 AW118 BB118 BD118 BI118 BK118 BP118 BR118 BW118 BY118 CD118 CF118 CK118 CM118 CR118 CT118 Z150 AB150 AG150 AI150 AN150 AP150 AU150 AW150 BB150 BD150 BI150 BK150 BP150 BR150 BW150 BY150 CD150 CF150 CK150 CM150 CR150 CT150 Z130 AB130 AG130 AI130 AN130 AP130 AU130 AW130 BB130 BD130 BI130 BK130 BP130 BR130 BW130 BY130 CD130 CF130 CK130 CM130 CR130 CT130 Z142 AB142 AG142 AI142 AN142 AP142 AU142 AW142 BB142 BD142 BI142 BK142 BP142 BR142 BW142 BY142 CD142 CF142 CK142 CM142 CR142 CT142 Z154 AB154 AG154 AI154 AN154 AP154 AU154 AW154 BB154 BD154 BI154 BK154 BP154 BR154 BW154 BY154 CD154 CF154 CK154 CM154 CR154 CT154 Z168 AB168 AG168 AI168 AN168 AP168 AU168 AW168 BB168 BD168 BI168 BK168 BP168 BR168 BW168 BY168 CD168 CF168 CK168 CM168 CR168 CT168 Z182 AB182 AG182 AI182 AN182 AP182 AU182 AW182 BB182 BD182 BI182 BK182 BP182 BR182 BW182 BY182 CD182 CF182 CK182 CM182 CR182 CT182 Z196 AB196 AG196 AI196 AN196 AP196 AU196 AW196 BB196 BD196 BI196 BK196 BP196 BR196 BW196 BY196 CD196 CF196 CK196 CM196 CR196 CT196 Z210 AB210 AG210 AI210 AN210 AP210 AU210 AW210 BB210 BD210 BI210 BK210 BP210 BR210 BW210 BY210 CD210 CF210 CK210 CM210 CR210 CT210 Z224 AB224 AG224 AI224 AN224 AP224 AU224 AW224 BB224 BD224 BI224 BK224 BP224 BR224 BW224 BY224 CD224 CF224 CK224 CM224 CR224 CT224 Z238 AB238 AG238 AI238 AN238 AP238 AU238 AW238 BB238 BD238 BI238 BK238 BP238 BR238 BW238 BY238 CD238 CF238 CK238 CM238 CR238 CT238 Z252 AB252 AG252 AI252 AN252 AP252 AU252 AW252 BB252 BD252 BI252 BK252 BP252 BR252 BW252 BY252 CD252 CF252 CK252 CM252 CR252 CT252 Z266 AB266 AG266 AI266 AN266 AP266 AU266 AW266 BB266 BD266 BI266 BK266 BP266 BR266 BW266 BY266 CD266 CF266 CK266 CM266 CR266 CT266 Z280 AB280 AG280 AI280 AN280 AP280 AU280 AW280 BB280 BD280 BI280 BK280 BP280 BR280 BW280 BY280 CD280 CF280 CK280 CM280 CR280 CT280 Z292 AB292 AG292 AI292 AN292 AP292 AU292 AW292 BB292 BD292 BI292 BK292 BP292 BR292 BW292 BY292 CD292 CF292 CK292 CM292 CR292 CT292 Z306 AB306 AG306 AI306 AN306 AP306 AU306 AW306 BB306 BD306 BI306 BK306 BP306 BR306 BW306 BY306 CD306 CF306 CK306 CM306 CR306 CT306 Z318 AB318 AG318 AI318 AN318 AP318 AU318 AW318 BB318 BD318 BI318 BK318 BP318 BR318 BW318 BY318 CD318 CF318 CK318 CM318 CR318 CT318"/>
    <dataValidation allowBlank="1" sqref="S131388:CV131394 S196924:CV196930 S262460:CV262466 S327996:CV328002 S393532:CV393538 S459068:CV459074 S524604:CV524610 S590140:CV590146 S655676:CV655682 S721212:CV721218 S786748:CV786754 S852284:CV852290 S917820:CV917826 S983356:CV983362 S65852:CV65858"/>
    <dataValidation type="list" allowBlank="1" showInputMessage="1" errorTitle="Ошибка" error="Выберите значение из списка" prompt="Выберите значение из списка" sqref="V983353:CU983353 V65849:CU65849 V131385:CU131385 V196921:CU196921 V262457:CU262457 V327993:CU327993 V393529:CU393529 V459065:CU459065 V524601:CU524601 V590137:CU590137 V655673:CU655673 V721209:CU721209 V786745:CU786745 V852281:CU852281 V917817:CU917817">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1EC1F-5B72-27ED-8C89-0833B6F4F6F8}" mc:Ignorable="x14ac xr xr2 xr3">
  <sheetPr>
    <tabColor theme="6" tint="0.4"/>
  </sheetPr>
  <dimension ref="A1:DB62"/>
  <sheetViews>
    <sheetView topLeftCell="A1" showGridLines="0" zoomScale="90" workbookViewId="0">
      <selection activeCell="CR53" sqref="CR53"/>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1.00390625" customWidth="1"/>
    <col min="33" max="33" style="50801" width="3.7109375" customWidth="1"/>
    <col min="34" max="34" style="50801" width="11.00390625" customWidth="1"/>
    <col min="35" max="35" style="50801" width="8.57421875" customWidth="1"/>
    <col min="98" max="98" width="10.57421875" hidden="1"/>
    <col min="99" max="99" style="50801" width="4.00390625" customWidth="1"/>
    <col min="100" max="100" style="50801" width="115.00390625" customWidth="1"/>
    <col min="101" max="105" style="50882" width="10.00390625" customWidth="1"/>
    <col min="106" max="106" style="50801" width="10.57421875" hidden="1"/>
  </cols>
  <sheetData>
    <row customHeight="1" ht="22.5" hidden="1">
      <c r="X1" s="839"/>
      <c r="Y1" s="839"/>
      <c r="AE1" s="839"/>
      <c r="AF1" s="839"/>
      <c r="AJ1" s="59471"/>
      <c r="AK1" s="59471"/>
      <c r="AL1" s="59471"/>
      <c r="AM1" s="59471"/>
      <c r="AN1" s="59471"/>
      <c r="AO1" s="59471"/>
      <c r="AP1" s="59471"/>
      <c r="AQ1" s="59471"/>
      <c r="AR1" s="59471"/>
      <c r="AS1" s="59471"/>
      <c r="AT1" s="59471"/>
      <c r="AU1" s="59471"/>
      <c r="AV1" s="59471"/>
      <c r="AW1" s="59471"/>
      <c r="AX1" s="59471"/>
      <c r="AY1" s="59471"/>
      <c r="AZ1" s="59471"/>
      <c r="BA1" s="59471"/>
      <c r="BB1" s="59471"/>
      <c r="BC1" s="59471"/>
      <c r="BD1" s="59471"/>
      <c r="BE1" s="59471"/>
      <c r="BF1" s="59471"/>
      <c r="BG1" s="59471"/>
      <c r="BH1" s="59471"/>
      <c r="BI1" s="59471"/>
      <c r="BJ1" s="59471"/>
      <c r="BK1" s="59471"/>
      <c r="BL1" s="59471"/>
      <c r="BM1" s="59471"/>
      <c r="BN1" s="59471"/>
      <c r="BO1" s="59471"/>
      <c r="BP1" s="59471"/>
      <c r="BQ1" s="59471"/>
      <c r="BR1" s="59471"/>
      <c r="BS1" s="59471"/>
      <c r="BT1" s="59471"/>
      <c r="BU1" s="59471"/>
      <c r="BV1" s="59471"/>
      <c r="BW1" s="59471"/>
      <c r="BX1" s="59471"/>
      <c r="BY1" s="59471"/>
      <c r="BZ1" s="59471"/>
      <c r="CA1" s="59471"/>
      <c r="CB1" s="59471"/>
      <c r="CC1" s="59471"/>
      <c r="CD1" s="59471"/>
      <c r="CE1" s="59471"/>
      <c r="CF1" s="59471"/>
      <c r="CG1" s="59471"/>
      <c r="CH1" s="59471"/>
      <c r="CI1" s="59471"/>
      <c r="CJ1" s="59471"/>
      <c r="CK1" s="59471"/>
      <c r="CL1" s="59471"/>
      <c r="CM1" s="59471"/>
      <c r="CN1" s="59471"/>
      <c r="CO1" s="59471"/>
      <c r="CP1" s="59471"/>
      <c r="CQ1" s="59471"/>
      <c r="CR1" s="59471"/>
      <c r="CS1" s="59471"/>
      <c r="CT1" s="59471"/>
      <c r="DB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59473"/>
      <c r="AK2" s="59474"/>
      <c r="AL2" s="59474"/>
      <c r="AM2" s="59474"/>
      <c r="AN2" s="59474"/>
      <c r="AO2" s="59474"/>
      <c r="AP2" s="59475"/>
      <c r="AQ2" s="59473"/>
      <c r="AR2" s="59474"/>
      <c r="AS2" s="59474"/>
      <c r="AT2" s="59474"/>
      <c r="AU2" s="59474"/>
      <c r="AV2" s="59474"/>
      <c r="AW2" s="59475"/>
      <c r="AX2" s="59473"/>
      <c r="AY2" s="59474"/>
      <c r="AZ2" s="59474"/>
      <c r="BA2" s="59474"/>
      <c r="BB2" s="59474"/>
      <c r="BC2" s="59474"/>
      <c r="BD2" s="59475"/>
      <c r="BE2" s="59473"/>
      <c r="BF2" s="59474"/>
      <c r="BG2" s="59474"/>
      <c r="BH2" s="59474"/>
      <c r="BI2" s="59474"/>
      <c r="BJ2" s="59474"/>
      <c r="BK2" s="59475"/>
      <c r="BL2" s="59473"/>
      <c r="BM2" s="59474"/>
      <c r="BN2" s="59474"/>
      <c r="BO2" s="59474"/>
      <c r="BP2" s="59474"/>
      <c r="BQ2" s="59474"/>
      <c r="BR2" s="59475"/>
      <c r="BS2" s="59473"/>
      <c r="BT2" s="59474"/>
      <c r="BU2" s="59474"/>
      <c r="BV2" s="59474"/>
      <c r="BW2" s="59474"/>
      <c r="BX2" s="59474"/>
      <c r="BY2" s="59475"/>
      <c r="BZ2" s="59473"/>
      <c r="CA2" s="59474"/>
      <c r="CB2" s="59474"/>
      <c r="CC2" s="59474"/>
      <c r="CD2" s="59474"/>
      <c r="CE2" s="59474"/>
      <c r="CF2" s="59475"/>
      <c r="CG2" s="59473"/>
      <c r="CH2" s="59474"/>
      <c r="CI2" s="59474"/>
      <c r="CJ2" s="59474"/>
      <c r="CK2" s="59474"/>
      <c r="CL2" s="59474"/>
      <c r="CM2" s="59475"/>
      <c r="CN2" s="59473"/>
      <c r="CO2" s="59474"/>
      <c r="CP2" s="59474"/>
      <c r="CQ2" s="59474"/>
      <c r="CR2" s="59474"/>
      <c r="CS2" s="59474"/>
      <c r="CT2" s="59475"/>
      <c r="CU2" s="2756"/>
      <c r="CV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1012"/>
      <c r="CY2" s="1012" t="str">
        <f>IF(T2="","",T2)</f>
        <v>Наименование тарифа</v>
      </c>
      <c r="CZ2" s="1012"/>
      <c r="DA2" s="1012"/>
      <c r="DB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59473"/>
      <c r="AK3" s="59474"/>
      <c r="AL3" s="59474"/>
      <c r="AM3" s="59474"/>
      <c r="AN3" s="59474"/>
      <c r="AO3" s="59474"/>
      <c r="AP3" s="59475"/>
      <c r="AQ3" s="59473"/>
      <c r="AR3" s="59474"/>
      <c r="AS3" s="59474"/>
      <c r="AT3" s="59474"/>
      <c r="AU3" s="59474"/>
      <c r="AV3" s="59474"/>
      <c r="AW3" s="59475"/>
      <c r="AX3" s="59473"/>
      <c r="AY3" s="59474"/>
      <c r="AZ3" s="59474"/>
      <c r="BA3" s="59474"/>
      <c r="BB3" s="59474"/>
      <c r="BC3" s="59474"/>
      <c r="BD3" s="59475"/>
      <c r="BE3" s="59473"/>
      <c r="BF3" s="59474"/>
      <c r="BG3" s="59474"/>
      <c r="BH3" s="59474"/>
      <c r="BI3" s="59474"/>
      <c r="BJ3" s="59474"/>
      <c r="BK3" s="59475"/>
      <c r="BL3" s="59473"/>
      <c r="BM3" s="59474"/>
      <c r="BN3" s="59474"/>
      <c r="BO3" s="59474"/>
      <c r="BP3" s="59474"/>
      <c r="BQ3" s="59474"/>
      <c r="BR3" s="59475"/>
      <c r="BS3" s="59473"/>
      <c r="BT3" s="59474"/>
      <c r="BU3" s="59474"/>
      <c r="BV3" s="59474"/>
      <c r="BW3" s="59474"/>
      <c r="BX3" s="59474"/>
      <c r="BY3" s="59475"/>
      <c r="BZ3" s="59473"/>
      <c r="CA3" s="59474"/>
      <c r="CB3" s="59474"/>
      <c r="CC3" s="59474"/>
      <c r="CD3" s="59474"/>
      <c r="CE3" s="59474"/>
      <c r="CF3" s="59475"/>
      <c r="CG3" s="59473"/>
      <c r="CH3" s="59474"/>
      <c r="CI3" s="59474"/>
      <c r="CJ3" s="59474"/>
      <c r="CK3" s="59474"/>
      <c r="CL3" s="59474"/>
      <c r="CM3" s="59475"/>
      <c r="CN3" s="59473"/>
      <c r="CO3" s="59474"/>
      <c r="CP3" s="59474"/>
      <c r="CQ3" s="59474"/>
      <c r="CR3" s="59474"/>
      <c r="CS3" s="59474"/>
      <c r="CT3" s="59475"/>
      <c r="CU3" s="2756"/>
      <c r="CV3" s="1770" t="s">
        <v>537</v>
      </c>
      <c r="CX3" s="1012"/>
      <c r="CY3" s="1012" t="str">
        <f>IF(T3="","",T3)</f>
        <v>Территория действия тарифа</v>
      </c>
      <c r="CZ3" s="1012"/>
      <c r="DA3" s="1012"/>
      <c r="DB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617</v>
      </c>
      <c r="U4" s="812"/>
      <c r="V4" s="2754"/>
      <c r="W4" s="2755"/>
      <c r="X4" s="2755"/>
      <c r="Y4" s="2755"/>
      <c r="Z4" s="2755"/>
      <c r="AA4" s="2755"/>
      <c r="AB4" s="2756"/>
      <c r="AC4" s="2754">
        <f>INDEX(PT_DIFFERENTIATION_CS,MATCH(C4,PT_DIFFERENTIATION_CS_ID,0))</f>
      </c>
      <c r="AD4" s="2755"/>
      <c r="AE4" s="2755"/>
      <c r="AF4" s="2755"/>
      <c r="AG4" s="2755"/>
      <c r="AH4" s="2755"/>
      <c r="AI4" s="2755"/>
      <c r="AJ4" s="59473"/>
      <c r="AK4" s="59474"/>
      <c r="AL4" s="59474"/>
      <c r="AM4" s="59474"/>
      <c r="AN4" s="59474"/>
      <c r="AO4" s="59474"/>
      <c r="AP4" s="59475"/>
      <c r="AQ4" s="59473"/>
      <c r="AR4" s="59474"/>
      <c r="AS4" s="59474"/>
      <c r="AT4" s="59474"/>
      <c r="AU4" s="59474"/>
      <c r="AV4" s="59474"/>
      <c r="AW4" s="59475"/>
      <c r="AX4" s="59473"/>
      <c r="AY4" s="59474"/>
      <c r="AZ4" s="59474"/>
      <c r="BA4" s="59474"/>
      <c r="BB4" s="59474"/>
      <c r="BC4" s="59474"/>
      <c r="BD4" s="59475"/>
      <c r="BE4" s="59473"/>
      <c r="BF4" s="59474"/>
      <c r="BG4" s="59474"/>
      <c r="BH4" s="59474"/>
      <c r="BI4" s="59474"/>
      <c r="BJ4" s="59474"/>
      <c r="BK4" s="59475"/>
      <c r="BL4" s="59473"/>
      <c r="BM4" s="59474"/>
      <c r="BN4" s="59474"/>
      <c r="BO4" s="59474"/>
      <c r="BP4" s="59474"/>
      <c r="BQ4" s="59474"/>
      <c r="BR4" s="59475"/>
      <c r="BS4" s="59473"/>
      <c r="BT4" s="59474"/>
      <c r="BU4" s="59474"/>
      <c r="BV4" s="59474"/>
      <c r="BW4" s="59474"/>
      <c r="BX4" s="59474"/>
      <c r="BY4" s="59475"/>
      <c r="BZ4" s="59473"/>
      <c r="CA4" s="59474"/>
      <c r="CB4" s="59474"/>
      <c r="CC4" s="59474"/>
      <c r="CD4" s="59474"/>
      <c r="CE4" s="59474"/>
      <c r="CF4" s="59475"/>
      <c r="CG4" s="59473"/>
      <c r="CH4" s="59474"/>
      <c r="CI4" s="59474"/>
      <c r="CJ4" s="59474"/>
      <c r="CK4" s="59474"/>
      <c r="CL4" s="59474"/>
      <c r="CM4" s="59475"/>
      <c r="CN4" s="59473"/>
      <c r="CO4" s="59474"/>
      <c r="CP4" s="59474"/>
      <c r="CQ4" s="59474"/>
      <c r="CR4" s="59474"/>
      <c r="CS4" s="59474"/>
      <c r="CT4" s="59475"/>
      <c r="CU4" s="2756"/>
      <c r="CV4" s="1770" t="s">
        <v>618</v>
      </c>
      <c r="CX4" s="1012"/>
      <c r="CY4" s="1012" t="str">
        <f>IF(T4="","",T4)</f>
        <v>Наименование централизованной системы холодного водоснабжения</v>
      </c>
      <c r="CZ4" s="1012"/>
      <c r="DA4" s="1012"/>
      <c r="DB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619</v>
      </c>
      <c r="U5" s="812"/>
      <c r="V5" s="2862"/>
      <c r="W5" s="2863"/>
      <c r="X5" s="2863"/>
      <c r="Y5" s="2863"/>
      <c r="Z5" s="2863"/>
      <c r="AA5" s="2863"/>
      <c r="AB5" s="2864"/>
      <c r="AC5" s="2865"/>
      <c r="AD5" s="2866"/>
      <c r="AE5" s="2866"/>
      <c r="AF5" s="2866"/>
      <c r="AG5" s="2866"/>
      <c r="AH5" s="2866"/>
      <c r="AI5" s="2866"/>
      <c r="AJ5" s="59478"/>
      <c r="AK5" s="59479"/>
      <c r="AL5" s="59479"/>
      <c r="AM5" s="59479"/>
      <c r="AN5" s="59479"/>
      <c r="AO5" s="59479"/>
      <c r="AP5" s="59480"/>
      <c r="AQ5" s="59478"/>
      <c r="AR5" s="59479"/>
      <c r="AS5" s="59479"/>
      <c r="AT5" s="59479"/>
      <c r="AU5" s="59479"/>
      <c r="AV5" s="59479"/>
      <c r="AW5" s="59480"/>
      <c r="AX5" s="59478"/>
      <c r="AY5" s="59479"/>
      <c r="AZ5" s="59479"/>
      <c r="BA5" s="59479"/>
      <c r="BB5" s="59479"/>
      <c r="BC5" s="59479"/>
      <c r="BD5" s="59480"/>
      <c r="BE5" s="59478"/>
      <c r="BF5" s="59479"/>
      <c r="BG5" s="59479"/>
      <c r="BH5" s="59479"/>
      <c r="BI5" s="59479"/>
      <c r="BJ5" s="59479"/>
      <c r="BK5" s="59480"/>
      <c r="BL5" s="59478"/>
      <c r="BM5" s="59479"/>
      <c r="BN5" s="59479"/>
      <c r="BO5" s="59479"/>
      <c r="BP5" s="59479"/>
      <c r="BQ5" s="59479"/>
      <c r="BR5" s="59480"/>
      <c r="BS5" s="59478"/>
      <c r="BT5" s="59479"/>
      <c r="BU5" s="59479"/>
      <c r="BV5" s="59479"/>
      <c r="BW5" s="59479"/>
      <c r="BX5" s="59479"/>
      <c r="BY5" s="59480"/>
      <c r="BZ5" s="59478"/>
      <c r="CA5" s="59479"/>
      <c r="CB5" s="59479"/>
      <c r="CC5" s="59479"/>
      <c r="CD5" s="59479"/>
      <c r="CE5" s="59479"/>
      <c r="CF5" s="59480"/>
      <c r="CG5" s="59478"/>
      <c r="CH5" s="59479"/>
      <c r="CI5" s="59479"/>
      <c r="CJ5" s="59479"/>
      <c r="CK5" s="59479"/>
      <c r="CL5" s="59479"/>
      <c r="CM5" s="59480"/>
      <c r="CN5" s="59478"/>
      <c r="CO5" s="59479"/>
      <c r="CP5" s="59479"/>
      <c r="CQ5" s="59479"/>
      <c r="CR5" s="59479"/>
      <c r="CS5" s="59479"/>
      <c r="CT5" s="59480"/>
      <c r="CU5" s="2867"/>
      <c r="CV5" s="1770" t="s">
        <v>620</v>
      </c>
      <c r="CX5" s="1012"/>
      <c r="CY5" s="1012" t="str">
        <f>IF(T5="","",T5)</f>
        <v>Наименование признака дифференциации</v>
      </c>
      <c r="CZ5" s="1012"/>
      <c r="DA5" s="1012"/>
      <c r="DB5" s="1667">
        <v>0</v>
      </c>
    </row>
    <row customHeight="1" ht="23.25" hidden="1">
      <c r="A6" s="1875"/>
      <c r="B6" s="1875"/>
      <c r="C6" s="1875"/>
      <c r="D6" s="1875"/>
      <c r="E6" s="2771"/>
      <c r="F6" s="2771"/>
      <c r="G6" s="2771"/>
      <c r="H6" s="2771"/>
      <c r="I6" s="2798"/>
      <c r="J6" s="2768">
        <f>I5&amp;".1"</f>
      </c>
      <c r="K6" s="1875"/>
      <c r="L6" s="1876" t="s">
        <v>545</v>
      </c>
      <c r="P6" s="2769"/>
      <c r="Q6" s="2769">
        <v>1</v>
      </c>
      <c r="R6" s="869"/>
      <c r="S6" s="1969">
        <f>$J6</f>
      </c>
      <c r="T6" s="798" t="s">
        <v>546</v>
      </c>
      <c r="U6" s="812"/>
      <c r="V6" s="2757"/>
      <c r="W6" s="2758"/>
      <c r="X6" s="2758"/>
      <c r="Y6" s="2758"/>
      <c r="Z6" s="2758"/>
      <c r="AA6" s="2758"/>
      <c r="AB6" s="2759"/>
      <c r="AC6" s="2757"/>
      <c r="AD6" s="2758"/>
      <c r="AE6" s="2758"/>
      <c r="AF6" s="2758"/>
      <c r="AG6" s="2758"/>
      <c r="AH6" s="2758"/>
      <c r="AI6" s="2758"/>
      <c r="AJ6" s="59481"/>
      <c r="AK6" s="59482"/>
      <c r="AL6" s="59482"/>
      <c r="AM6" s="59482"/>
      <c r="AN6" s="59482"/>
      <c r="AO6" s="59482"/>
      <c r="AP6" s="59483"/>
      <c r="AQ6" s="59481"/>
      <c r="AR6" s="59482"/>
      <c r="AS6" s="59482"/>
      <c r="AT6" s="59482"/>
      <c r="AU6" s="59482"/>
      <c r="AV6" s="59482"/>
      <c r="AW6" s="59483"/>
      <c r="AX6" s="59481"/>
      <c r="AY6" s="59482"/>
      <c r="AZ6" s="59482"/>
      <c r="BA6" s="59482"/>
      <c r="BB6" s="59482"/>
      <c r="BC6" s="59482"/>
      <c r="BD6" s="59483"/>
      <c r="BE6" s="59481"/>
      <c r="BF6" s="59482"/>
      <c r="BG6" s="59482"/>
      <c r="BH6" s="59482"/>
      <c r="BI6" s="59482"/>
      <c r="BJ6" s="59482"/>
      <c r="BK6" s="59483"/>
      <c r="BL6" s="59481"/>
      <c r="BM6" s="59482"/>
      <c r="BN6" s="59482"/>
      <c r="BO6" s="59482"/>
      <c r="BP6" s="59482"/>
      <c r="BQ6" s="59482"/>
      <c r="BR6" s="59483"/>
      <c r="BS6" s="59481"/>
      <c r="BT6" s="59482"/>
      <c r="BU6" s="59482"/>
      <c r="BV6" s="59482"/>
      <c r="BW6" s="59482"/>
      <c r="BX6" s="59482"/>
      <c r="BY6" s="59483"/>
      <c r="BZ6" s="59481"/>
      <c r="CA6" s="59482"/>
      <c r="CB6" s="59482"/>
      <c r="CC6" s="59482"/>
      <c r="CD6" s="59482"/>
      <c r="CE6" s="59482"/>
      <c r="CF6" s="59483"/>
      <c r="CG6" s="59481"/>
      <c r="CH6" s="59482"/>
      <c r="CI6" s="59482"/>
      <c r="CJ6" s="59482"/>
      <c r="CK6" s="59482"/>
      <c r="CL6" s="59482"/>
      <c r="CM6" s="59483"/>
      <c r="CN6" s="59481"/>
      <c r="CO6" s="59482"/>
      <c r="CP6" s="59482"/>
      <c r="CQ6" s="59482"/>
      <c r="CR6" s="59482"/>
      <c r="CS6" s="59482"/>
      <c r="CT6" s="59483"/>
      <c r="CU6" s="2759"/>
      <c r="CV6" s="1819" t="s">
        <v>621</v>
      </c>
      <c r="CX6" s="1012"/>
      <c r="CY6" s="1012" t="str">
        <f>IF(T6="","",T6)</f>
        <v>Группа потребителей</v>
      </c>
      <c r="CZ6" s="1012"/>
      <c r="DA6" s="1012"/>
      <c r="DB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59484"/>
      <c r="AK7" s="59484"/>
      <c r="AL7" s="59485"/>
      <c r="AM7" s="57093"/>
      <c r="AN7" s="59486" t="s">
        <v>63</v>
      </c>
      <c r="AO7" s="57093"/>
      <c r="AP7" s="59486" t="s">
        <v>63</v>
      </c>
      <c r="AQ7" s="59484"/>
      <c r="AR7" s="59484"/>
      <c r="AS7" s="59485"/>
      <c r="AT7" s="57093"/>
      <c r="AU7" s="59486" t="s">
        <v>63</v>
      </c>
      <c r="AV7" s="57093"/>
      <c r="AW7" s="59486" t="s">
        <v>63</v>
      </c>
      <c r="AX7" s="59484"/>
      <c r="AY7" s="59484"/>
      <c r="AZ7" s="59485"/>
      <c r="BA7" s="57093"/>
      <c r="BB7" s="59486" t="s">
        <v>63</v>
      </c>
      <c r="BC7" s="57093"/>
      <c r="BD7" s="59486" t="s">
        <v>63</v>
      </c>
      <c r="BE7" s="59484"/>
      <c r="BF7" s="59484"/>
      <c r="BG7" s="59485"/>
      <c r="BH7" s="57093"/>
      <c r="BI7" s="59486" t="s">
        <v>63</v>
      </c>
      <c r="BJ7" s="57093"/>
      <c r="BK7" s="59486" t="s">
        <v>63</v>
      </c>
      <c r="BL7" s="59484"/>
      <c r="BM7" s="59484"/>
      <c r="BN7" s="59485"/>
      <c r="BO7" s="57093"/>
      <c r="BP7" s="59486" t="s">
        <v>63</v>
      </c>
      <c r="BQ7" s="57093"/>
      <c r="BR7" s="59486" t="s">
        <v>63</v>
      </c>
      <c r="BS7" s="59484"/>
      <c r="BT7" s="59484"/>
      <c r="BU7" s="59485"/>
      <c r="BV7" s="57093"/>
      <c r="BW7" s="59486" t="s">
        <v>63</v>
      </c>
      <c r="BX7" s="57093"/>
      <c r="BY7" s="59486" t="s">
        <v>63</v>
      </c>
      <c r="BZ7" s="59484"/>
      <c r="CA7" s="59484"/>
      <c r="CB7" s="59485"/>
      <c r="CC7" s="57093"/>
      <c r="CD7" s="59486" t="s">
        <v>63</v>
      </c>
      <c r="CE7" s="57093"/>
      <c r="CF7" s="59486" t="s">
        <v>63</v>
      </c>
      <c r="CG7" s="59484"/>
      <c r="CH7" s="59484"/>
      <c r="CI7" s="59485"/>
      <c r="CJ7" s="57093"/>
      <c r="CK7" s="59486" t="s">
        <v>63</v>
      </c>
      <c r="CL7" s="57093"/>
      <c r="CM7" s="59486" t="s">
        <v>63</v>
      </c>
      <c r="CN7" s="59484"/>
      <c r="CO7" s="59484"/>
      <c r="CP7" s="59485"/>
      <c r="CQ7" s="57093"/>
      <c r="CR7" s="59486" t="s">
        <v>63</v>
      </c>
      <c r="CS7" s="57093"/>
      <c r="CT7" s="59486" t="s">
        <v>63</v>
      </c>
      <c r="CU7" s="1950"/>
      <c r="CV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1023">
        <f>STRCHECKDATE(V8:CU8)</f>
      </c>
      <c r="CX7" s="1012"/>
      <c r="CY7" s="1012" t="str">
        <f>IF(T7="","",T7)</f>
        <v/>
      </c>
      <c r="CZ7" s="1012"/>
      <c r="DA7" s="1012"/>
      <c r="DB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59488"/>
      <c r="AK8" s="59488"/>
      <c r="AL8" s="59489" t="str">
        <f>AM7&amp;"-"&amp;AO7</f>
        <v>-</v>
      </c>
      <c r="AM8" s="59490"/>
      <c r="AN8" s="59486"/>
      <c r="AO8" s="59490"/>
      <c r="AP8" s="59486"/>
      <c r="AQ8" s="59488"/>
      <c r="AR8" s="59488"/>
      <c r="AS8" s="59489" t="str">
        <f>AT7&amp;"-"&amp;AV7</f>
        <v>-</v>
      </c>
      <c r="AT8" s="59490"/>
      <c r="AU8" s="59486"/>
      <c r="AV8" s="59490"/>
      <c r="AW8" s="59486"/>
      <c r="AX8" s="59488"/>
      <c r="AY8" s="59488"/>
      <c r="AZ8" s="59489" t="str">
        <f>BA7&amp;"-"&amp;BC7</f>
        <v>-</v>
      </c>
      <c r="BA8" s="59490"/>
      <c r="BB8" s="59486"/>
      <c r="BC8" s="59490"/>
      <c r="BD8" s="59486"/>
      <c r="BE8" s="59488"/>
      <c r="BF8" s="59488"/>
      <c r="BG8" s="59489" t="str">
        <f>BH7&amp;"-"&amp;BJ7</f>
        <v>-</v>
      </c>
      <c r="BH8" s="59490"/>
      <c r="BI8" s="59486"/>
      <c r="BJ8" s="59490"/>
      <c r="BK8" s="59486"/>
      <c r="BL8" s="59488"/>
      <c r="BM8" s="59488"/>
      <c r="BN8" s="59489" t="str">
        <f>BO7&amp;"-"&amp;BQ7</f>
        <v>-</v>
      </c>
      <c r="BO8" s="59490"/>
      <c r="BP8" s="59486"/>
      <c r="BQ8" s="59490"/>
      <c r="BR8" s="59486"/>
      <c r="BS8" s="59488"/>
      <c r="BT8" s="59488"/>
      <c r="BU8" s="59489" t="str">
        <f>BV7&amp;"-"&amp;BX7</f>
        <v>-</v>
      </c>
      <c r="BV8" s="59490"/>
      <c r="BW8" s="59486"/>
      <c r="BX8" s="59490"/>
      <c r="BY8" s="59486"/>
      <c r="BZ8" s="59488"/>
      <c r="CA8" s="59488"/>
      <c r="CB8" s="59489" t="str">
        <f>CC7&amp;"-"&amp;CE7</f>
        <v>-</v>
      </c>
      <c r="CC8" s="59490"/>
      <c r="CD8" s="59486"/>
      <c r="CE8" s="59490"/>
      <c r="CF8" s="59486"/>
      <c r="CG8" s="59488"/>
      <c r="CH8" s="59488"/>
      <c r="CI8" s="59489" t="str">
        <f>CJ7&amp;"-"&amp;CL7</f>
        <v>-</v>
      </c>
      <c r="CJ8" s="59490"/>
      <c r="CK8" s="59486"/>
      <c r="CL8" s="59490"/>
      <c r="CM8" s="59486"/>
      <c r="CN8" s="59488"/>
      <c r="CO8" s="59488"/>
      <c r="CP8" s="59489" t="str">
        <f>CQ7&amp;"-"&amp;CS7</f>
        <v>-</v>
      </c>
      <c r="CQ8" s="59490"/>
      <c r="CR8" s="59486"/>
      <c r="CS8" s="59490"/>
      <c r="CT8" s="59486"/>
      <c r="CU8" s="1951"/>
      <c r="CV8" s="2861"/>
      <c r="CX8" s="1012"/>
      <c r="CY8" s="1012" t="str">
        <f>IF(T8="","",T8)</f>
        <v/>
      </c>
      <c r="CZ8" s="1012"/>
      <c r="DA8" s="1012"/>
      <c r="DB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59491"/>
      <c r="AK9" s="59492"/>
      <c r="AL9" s="59493"/>
      <c r="AM9" s="59494"/>
      <c r="AN9" s="59495"/>
      <c r="AO9" s="59496"/>
      <c r="AP9" s="59497"/>
      <c r="AQ9" s="59498"/>
      <c r="AR9" s="59499"/>
      <c r="AS9" s="59500"/>
      <c r="AT9" s="59501"/>
      <c r="AU9" s="59502"/>
      <c r="AV9" s="59503"/>
      <c r="AW9" s="59504"/>
      <c r="AX9" s="59505"/>
      <c r="AY9" s="59506"/>
      <c r="AZ9" s="59507"/>
      <c r="BA9" s="59508"/>
      <c r="BB9" s="59509"/>
      <c r="BC9" s="59510"/>
      <c r="BD9" s="59511"/>
      <c r="BE9" s="59512"/>
      <c r="BF9" s="59513"/>
      <c r="BG9" s="59514"/>
      <c r="BH9" s="59515"/>
      <c r="BI9" s="59516"/>
      <c r="BJ9" s="59517"/>
      <c r="BK9" s="59518"/>
      <c r="BL9" s="59519"/>
      <c r="BM9" s="59520"/>
      <c r="BN9" s="59521"/>
      <c r="BO9" s="59522"/>
      <c r="BP9" s="59523"/>
      <c r="BQ9" s="59524"/>
      <c r="BR9" s="59525"/>
      <c r="BS9" s="59526"/>
      <c r="BT9" s="59527"/>
      <c r="BU9" s="59528"/>
      <c r="BV9" s="59529"/>
      <c r="BW9" s="59530"/>
      <c r="BX9" s="59531"/>
      <c r="BY9" s="59532"/>
      <c r="BZ9" s="59533"/>
      <c r="CA9" s="59534"/>
      <c r="CB9" s="59535"/>
      <c r="CC9" s="59536"/>
      <c r="CD9" s="59537"/>
      <c r="CE9" s="59538"/>
      <c r="CF9" s="59539"/>
      <c r="CG9" s="59540"/>
      <c r="CH9" s="59541"/>
      <c r="CI9" s="59542"/>
      <c r="CJ9" s="59543"/>
      <c r="CK9" s="59544"/>
      <c r="CL9" s="59545"/>
      <c r="CM9" s="59546"/>
      <c r="CN9" s="59547"/>
      <c r="CO9" s="59548"/>
      <c r="CP9" s="59549"/>
      <c r="CQ9" s="59550"/>
      <c r="CR9" s="59551"/>
      <c r="CS9" s="59552"/>
      <c r="CT9" s="59553"/>
      <c r="CU9" s="879"/>
      <c r="CV9" s="1770" t="s">
        <v>623</v>
      </c>
      <c r="CX9" s="1012"/>
      <c r="CY9" s="1012" t="str">
        <f>IF(T9="","",T9)</f>
        <v>Добавить значение признака дифференциации</v>
      </c>
      <c r="CZ9" s="1012"/>
      <c r="DA9" s="1012"/>
      <c r="DB9" s="1667">
        <v>0</v>
      </c>
    </row>
    <row customHeight="1" ht="21" hidden="1">
      <c r="A10" s="1875"/>
      <c r="B10" s="1875"/>
      <c r="C10" s="1875"/>
      <c r="D10" s="1875"/>
      <c r="E10" s="2771"/>
      <c r="F10" s="2771"/>
      <c r="G10" s="2771"/>
      <c r="H10" s="2771"/>
      <c r="I10" s="2768"/>
      <c r="J10" s="1875"/>
      <c r="K10" s="1875"/>
      <c r="L10" s="1876"/>
      <c r="P10" s="2769"/>
      <c r="Q10" s="1962"/>
      <c r="R10" s="868"/>
      <c r="S10" s="1790"/>
      <c r="T10" s="877" t="s">
        <v>551</v>
      </c>
      <c r="U10" s="879"/>
      <c r="V10" s="879"/>
      <c r="W10" s="879"/>
      <c r="X10" s="879"/>
      <c r="Y10" s="879"/>
      <c r="Z10" s="879"/>
      <c r="AA10" s="879"/>
      <c r="AB10" s="878"/>
      <c r="AC10" s="879"/>
      <c r="AD10" s="879"/>
      <c r="AE10" s="879"/>
      <c r="AF10" s="879"/>
      <c r="AG10" s="879"/>
      <c r="AH10" s="879"/>
      <c r="AI10" s="878"/>
      <c r="AJ10" s="59554"/>
      <c r="AK10" s="59555"/>
      <c r="AL10" s="59556"/>
      <c r="AM10" s="59557"/>
      <c r="AN10" s="59558"/>
      <c r="AO10" s="59559"/>
      <c r="AP10" s="59560"/>
      <c r="AQ10" s="59561"/>
      <c r="AR10" s="59562"/>
      <c r="AS10" s="59563"/>
      <c r="AT10" s="59564"/>
      <c r="AU10" s="59565"/>
      <c r="AV10" s="59566"/>
      <c r="AW10" s="59567"/>
      <c r="AX10" s="59568"/>
      <c r="AY10" s="59569"/>
      <c r="AZ10" s="59570"/>
      <c r="BA10" s="59571"/>
      <c r="BB10" s="59572"/>
      <c r="BC10" s="59573"/>
      <c r="BD10" s="59574"/>
      <c r="BE10" s="59575"/>
      <c r="BF10" s="59576"/>
      <c r="BG10" s="59577"/>
      <c r="BH10" s="59578"/>
      <c r="BI10" s="59579"/>
      <c r="BJ10" s="59580"/>
      <c r="BK10" s="59581"/>
      <c r="BL10" s="59582"/>
      <c r="BM10" s="59583"/>
      <c r="BN10" s="59584"/>
      <c r="BO10" s="59585"/>
      <c r="BP10" s="59586"/>
      <c r="BQ10" s="59587"/>
      <c r="BR10" s="59588"/>
      <c r="BS10" s="59589"/>
      <c r="BT10" s="59590"/>
      <c r="BU10" s="59591"/>
      <c r="BV10" s="59592"/>
      <c r="BW10" s="59593"/>
      <c r="BX10" s="59594"/>
      <c r="BY10" s="59595"/>
      <c r="BZ10" s="59596"/>
      <c r="CA10" s="59597"/>
      <c r="CB10" s="59598"/>
      <c r="CC10" s="59599"/>
      <c r="CD10" s="59600"/>
      <c r="CE10" s="59601"/>
      <c r="CF10" s="59602"/>
      <c r="CG10" s="59603"/>
      <c r="CH10" s="59604"/>
      <c r="CI10" s="59605"/>
      <c r="CJ10" s="59606"/>
      <c r="CK10" s="59607"/>
      <c r="CL10" s="59608"/>
      <c r="CM10" s="59609"/>
      <c r="CN10" s="59610"/>
      <c r="CO10" s="59611"/>
      <c r="CP10" s="59612"/>
      <c r="CQ10" s="59613"/>
      <c r="CR10" s="59614"/>
      <c r="CS10" s="59615"/>
      <c r="CT10" s="59616"/>
      <c r="CU10" s="879"/>
      <c r="CV10" s="1952"/>
      <c r="CX10" s="1012"/>
      <c r="CY10" s="1012" t="str">
        <f>IF(T10="","",T10)</f>
        <v>Добавить группу потребителей</v>
      </c>
      <c r="CZ10" s="1012"/>
      <c r="DA10" s="1012"/>
      <c r="DB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59617"/>
      <c r="AK11" s="59618"/>
      <c r="AL11" s="59619"/>
      <c r="AM11" s="59620"/>
      <c r="AN11" s="59621"/>
      <c r="AO11" s="59622"/>
      <c r="AP11" s="59623"/>
      <c r="AQ11" s="59624"/>
      <c r="AR11" s="59625"/>
      <c r="AS11" s="59626"/>
      <c r="AT11" s="59627"/>
      <c r="AU11" s="59628"/>
      <c r="AV11" s="59629"/>
      <c r="AW11" s="59630"/>
      <c r="AX11" s="59631"/>
      <c r="AY11" s="59632"/>
      <c r="AZ11" s="59633"/>
      <c r="BA11" s="59634"/>
      <c r="BB11" s="59635"/>
      <c r="BC11" s="59636"/>
      <c r="BD11" s="59637"/>
      <c r="BE11" s="59638"/>
      <c r="BF11" s="59639"/>
      <c r="BG11" s="59640"/>
      <c r="BH11" s="59641"/>
      <c r="BI11" s="59642"/>
      <c r="BJ11" s="59643"/>
      <c r="BK11" s="59644"/>
      <c r="BL11" s="59645"/>
      <c r="BM11" s="59646"/>
      <c r="BN11" s="59647"/>
      <c r="BO11" s="59648"/>
      <c r="BP11" s="59649"/>
      <c r="BQ11" s="59650"/>
      <c r="BR11" s="59651"/>
      <c r="BS11" s="59652"/>
      <c r="BT11" s="59653"/>
      <c r="BU11" s="59654"/>
      <c r="BV11" s="59655"/>
      <c r="BW11" s="59656"/>
      <c r="BX11" s="59657"/>
      <c r="BY11" s="59658"/>
      <c r="BZ11" s="59659"/>
      <c r="CA11" s="59660"/>
      <c r="CB11" s="59661"/>
      <c r="CC11" s="59662"/>
      <c r="CD11" s="59663"/>
      <c r="CE11" s="59664"/>
      <c r="CF11" s="59665"/>
      <c r="CG11" s="59666"/>
      <c r="CH11" s="59667"/>
      <c r="CI11" s="59668"/>
      <c r="CJ11" s="59669"/>
      <c r="CK11" s="59670"/>
      <c r="CL11" s="59671"/>
      <c r="CM11" s="59672"/>
      <c r="CN11" s="59673"/>
      <c r="CO11" s="59674"/>
      <c r="CP11" s="59675"/>
      <c r="CQ11" s="59676"/>
      <c r="CR11" s="59677"/>
      <c r="CS11" s="59678"/>
      <c r="CT11" s="59679"/>
      <c r="CU11" s="879"/>
      <c r="CV11" s="815"/>
      <c r="CX11" s="1012"/>
      <c r="CY11" s="1012" t="str">
        <f>IF(T11="","",T11)</f>
        <v>Добавить наименование признака дифференциации</v>
      </c>
      <c r="CZ11" s="1012"/>
      <c r="DA11" s="1012"/>
      <c r="DB11" s="1667">
        <v>0</v>
      </c>
    </row>
    <row s="50882"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59681"/>
      <c r="AK12" s="59681"/>
      <c r="AL12" s="59681"/>
      <c r="AM12" s="59681"/>
      <c r="AN12" s="59681"/>
      <c r="AO12" s="59681"/>
      <c r="AP12" s="59681"/>
      <c r="AQ12" s="59681"/>
      <c r="AR12" s="59681"/>
      <c r="AS12" s="59681"/>
      <c r="AT12" s="59681"/>
      <c r="AU12" s="59681"/>
      <c r="AV12" s="59681"/>
      <c r="AW12" s="59681"/>
      <c r="AX12" s="59681"/>
      <c r="AY12" s="59681"/>
      <c r="AZ12" s="59681"/>
      <c r="BA12" s="59681"/>
      <c r="BB12" s="59681"/>
      <c r="BC12" s="59681"/>
      <c r="BD12" s="59681"/>
      <c r="BE12" s="59681"/>
      <c r="BF12" s="59681"/>
      <c r="BG12" s="59681"/>
      <c r="BH12" s="59681"/>
      <c r="BI12" s="59681"/>
      <c r="BJ12" s="59681"/>
      <c r="BK12" s="59681"/>
      <c r="BL12" s="59681"/>
      <c r="BM12" s="59681"/>
      <c r="BN12" s="59681"/>
      <c r="BO12" s="59681"/>
      <c r="BP12" s="59681"/>
      <c r="BQ12" s="59681"/>
      <c r="BR12" s="59681"/>
      <c r="BS12" s="59681"/>
      <c r="BT12" s="59681"/>
      <c r="BU12" s="59681"/>
      <c r="BV12" s="59681"/>
      <c r="BW12" s="59681"/>
      <c r="BX12" s="59681"/>
      <c r="BY12" s="59681"/>
      <c r="BZ12" s="59681"/>
      <c r="CA12" s="59681"/>
      <c r="CB12" s="59681"/>
      <c r="CC12" s="59681"/>
      <c r="CD12" s="59681"/>
      <c r="CE12" s="59681"/>
      <c r="CF12" s="59681"/>
      <c r="CG12" s="59681"/>
      <c r="CH12" s="59681"/>
      <c r="CI12" s="59681"/>
      <c r="CJ12" s="59681"/>
      <c r="CK12" s="59681"/>
      <c r="CL12" s="59681"/>
      <c r="CM12" s="59681"/>
      <c r="CN12" s="59681"/>
      <c r="CO12" s="59681"/>
      <c r="CP12" s="59681"/>
      <c r="CQ12" s="59681"/>
      <c r="CR12" s="59681"/>
      <c r="CS12" s="59681"/>
      <c r="CT12" s="59681"/>
      <c r="CU12" s="1836"/>
      <c r="CV12" s="1836"/>
      <c r="CX12" s="1301"/>
      <c r="CY12" s="1301" t="str">
        <f>IF(T12="","",T12)</f>
        <v>Добавить централизованную систему для дифференциации</v>
      </c>
      <c r="CZ12" s="1301"/>
      <c r="DA12" s="1301"/>
      <c r="DB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59681"/>
      <c r="AK13" s="59681"/>
      <c r="AL13" s="59681"/>
      <c r="AM13" s="59681"/>
      <c r="AN13" s="59681"/>
      <c r="AO13" s="59681"/>
      <c r="AP13" s="59681"/>
      <c r="AQ13" s="59681"/>
      <c r="AR13" s="59681"/>
      <c r="AS13" s="59681"/>
      <c r="AT13" s="59681"/>
      <c r="AU13" s="59681"/>
      <c r="AV13" s="59681"/>
      <c r="AW13" s="59681"/>
      <c r="AX13" s="59681"/>
      <c r="AY13" s="59681"/>
      <c r="AZ13" s="59681"/>
      <c r="BA13" s="59681"/>
      <c r="BB13" s="59681"/>
      <c r="BC13" s="59681"/>
      <c r="BD13" s="59681"/>
      <c r="BE13" s="59681"/>
      <c r="BF13" s="59681"/>
      <c r="BG13" s="59681"/>
      <c r="BH13" s="59681"/>
      <c r="BI13" s="59681"/>
      <c r="BJ13" s="59681"/>
      <c r="BK13" s="59681"/>
      <c r="BL13" s="59681"/>
      <c r="BM13" s="59681"/>
      <c r="BN13" s="59681"/>
      <c r="BO13" s="59681"/>
      <c r="BP13" s="59681"/>
      <c r="BQ13" s="59681"/>
      <c r="BR13" s="59681"/>
      <c r="BS13" s="59681"/>
      <c r="BT13" s="59681"/>
      <c r="BU13" s="59681"/>
      <c r="BV13" s="59681"/>
      <c r="BW13" s="59681"/>
      <c r="BX13" s="59681"/>
      <c r="BY13" s="59681"/>
      <c r="BZ13" s="59681"/>
      <c r="CA13" s="59681"/>
      <c r="CB13" s="59681"/>
      <c r="CC13" s="59681"/>
      <c r="CD13" s="59681"/>
      <c r="CE13" s="59681"/>
      <c r="CF13" s="59681"/>
      <c r="CG13" s="59681"/>
      <c r="CH13" s="59681"/>
      <c r="CI13" s="59681"/>
      <c r="CJ13" s="59681"/>
      <c r="CK13" s="59681"/>
      <c r="CL13" s="59681"/>
      <c r="CM13" s="59681"/>
      <c r="CN13" s="59681"/>
      <c r="CO13" s="59681"/>
      <c r="CP13" s="59681"/>
      <c r="CQ13" s="59681"/>
      <c r="CR13" s="59681"/>
      <c r="CS13" s="59681"/>
      <c r="CT13" s="59681"/>
      <c r="CU13" s="1836"/>
      <c r="CV13" s="1836"/>
      <c r="CX13" s="1012"/>
      <c r="CY13" s="1012" t="str">
        <f>IF(T13="","",T13)</f>
        <v>Добавить территорию для дифференциации</v>
      </c>
      <c r="CZ13" s="1012"/>
      <c r="DA13" s="1012"/>
      <c r="DB13" s="1023">
        <v>0</v>
      </c>
    </row>
    <row customHeight="1" ht="14.25" hidden="1">
      <c r="AB14" s="839"/>
      <c r="AI14" s="839"/>
      <c r="AJ14" s="59471"/>
      <c r="AK14" s="59471"/>
      <c r="AL14" s="59471"/>
      <c r="AM14" s="59471"/>
      <c r="AN14" s="59471"/>
      <c r="AO14" s="59471"/>
      <c r="AP14" s="59471"/>
      <c r="AQ14" s="59471"/>
      <c r="AR14" s="59471"/>
      <c r="AS14" s="59471"/>
      <c r="AT14" s="59471"/>
      <c r="AU14" s="59471"/>
      <c r="AV14" s="59471"/>
      <c r="AW14" s="59471"/>
      <c r="AX14" s="59471"/>
      <c r="AY14" s="59471"/>
      <c r="AZ14" s="59471"/>
      <c r="BA14" s="59471"/>
      <c r="BB14" s="59471"/>
      <c r="BC14" s="59471"/>
      <c r="BD14" s="59471"/>
      <c r="BE14" s="59471"/>
      <c r="BF14" s="59471"/>
      <c r="BG14" s="59471"/>
      <c r="BH14" s="59471"/>
      <c r="BI14" s="59471"/>
      <c r="BJ14" s="59471"/>
      <c r="BK14" s="59471"/>
      <c r="BL14" s="59471"/>
      <c r="BM14" s="59471"/>
      <c r="BN14" s="59471"/>
      <c r="BO14" s="59471"/>
      <c r="BP14" s="59471"/>
      <c r="BQ14" s="59471"/>
      <c r="BR14" s="59471"/>
      <c r="BS14" s="59471"/>
      <c r="BT14" s="59471"/>
      <c r="BU14" s="59471"/>
      <c r="BV14" s="59471"/>
      <c r="BW14" s="59471"/>
      <c r="BX14" s="59471"/>
      <c r="BY14" s="59471"/>
      <c r="BZ14" s="59471"/>
      <c r="CA14" s="59471"/>
      <c r="CB14" s="59471"/>
      <c r="CC14" s="59471"/>
      <c r="CD14" s="59471"/>
      <c r="CE14" s="59471"/>
      <c r="CF14" s="59471"/>
      <c r="CG14" s="59471"/>
      <c r="CH14" s="59471"/>
      <c r="CI14" s="59471"/>
      <c r="CJ14" s="59471"/>
      <c r="CK14" s="59471"/>
      <c r="CL14" s="59471"/>
      <c r="CM14" s="59471"/>
      <c r="CN14" s="59471"/>
      <c r="CO14" s="59471"/>
      <c r="CP14" s="59471"/>
      <c r="CQ14" s="59471"/>
      <c r="CR14" s="59471"/>
      <c r="CS14" s="59471"/>
      <c r="CT14" s="59471"/>
      <c r="DB14" s="1667">
        <v>0</v>
      </c>
    </row>
    <row customHeight="1" ht="14.25" hidden="1">
      <c r="AC15" s="1872"/>
      <c r="AD15" s="1872"/>
      <c r="AE15" s="1873"/>
      <c r="AF15" s="2779"/>
      <c r="AG15" s="2780" t="s">
        <v>63</v>
      </c>
      <c r="AH15" s="2779"/>
      <c r="AI15" s="2780" t="s">
        <v>63</v>
      </c>
      <c r="AJ15" s="59471"/>
      <c r="AK15" s="59471"/>
      <c r="AL15" s="59471"/>
      <c r="AM15" s="59471"/>
      <c r="AN15" s="59471"/>
      <c r="AO15" s="59471"/>
      <c r="AP15" s="59471"/>
      <c r="AQ15" s="59471"/>
      <c r="AR15" s="59471"/>
      <c r="AS15" s="59471"/>
      <c r="AT15" s="59471"/>
      <c r="AU15" s="59471"/>
      <c r="AV15" s="59471"/>
      <c r="AW15" s="59471"/>
      <c r="AX15" s="59471"/>
      <c r="AY15" s="59471"/>
      <c r="AZ15" s="59471"/>
      <c r="BA15" s="59471"/>
      <c r="BB15" s="59471"/>
      <c r="BC15" s="59471"/>
      <c r="BD15" s="59471"/>
      <c r="BE15" s="59471"/>
      <c r="BF15" s="59471"/>
      <c r="BG15" s="59471"/>
      <c r="BH15" s="59471"/>
      <c r="BI15" s="59471"/>
      <c r="BJ15" s="59471"/>
      <c r="BK15" s="59471"/>
      <c r="BL15" s="59471"/>
      <c r="BM15" s="59471"/>
      <c r="BN15" s="59471"/>
      <c r="BO15" s="59471"/>
      <c r="BP15" s="59471"/>
      <c r="BQ15" s="59471"/>
      <c r="BR15" s="59471"/>
      <c r="BS15" s="59471"/>
      <c r="BT15" s="59471"/>
      <c r="BU15" s="59471"/>
      <c r="BV15" s="59471"/>
      <c r="BW15" s="59471"/>
      <c r="BX15" s="59471"/>
      <c r="BY15" s="59471"/>
      <c r="BZ15" s="59471"/>
      <c r="CA15" s="59471"/>
      <c r="CB15" s="59471"/>
      <c r="CC15" s="59471"/>
      <c r="CD15" s="59471"/>
      <c r="CE15" s="59471"/>
      <c r="CF15" s="59471"/>
      <c r="CG15" s="59471"/>
      <c r="CH15" s="59471"/>
      <c r="CI15" s="59471"/>
      <c r="CJ15" s="59471"/>
      <c r="CK15" s="59471"/>
      <c r="CL15" s="59471"/>
      <c r="CM15" s="59471"/>
      <c r="CN15" s="59471"/>
      <c r="CO15" s="59471"/>
      <c r="CP15" s="59471"/>
      <c r="CQ15" s="59471"/>
      <c r="CR15" s="59471"/>
      <c r="CS15" s="59471"/>
      <c r="CT15" s="59471"/>
      <c r="DB15" s="1667">
        <v>0</v>
      </c>
    </row>
    <row customHeight="1" ht="14.25" hidden="1">
      <c r="AC16" s="1872"/>
      <c r="AD16" s="1872"/>
      <c r="AE16" s="840" t="str">
        <f>AF15&amp;"-"&amp;AH15</f>
        <v>-</v>
      </c>
      <c r="AF16" s="2780"/>
      <c r="AG16" s="2780"/>
      <c r="AH16" s="2780"/>
      <c r="AI16" s="2780"/>
      <c r="AJ16" s="59471"/>
      <c r="AK16" s="59471"/>
      <c r="AL16" s="59471"/>
      <c r="AM16" s="59471"/>
      <c r="AN16" s="59471"/>
      <c r="AO16" s="59471"/>
      <c r="AP16" s="59471"/>
      <c r="AQ16" s="59471"/>
      <c r="AR16" s="59471"/>
      <c r="AS16" s="59471"/>
      <c r="AT16" s="59471"/>
      <c r="AU16" s="59471"/>
      <c r="AV16" s="59471"/>
      <c r="AW16" s="59471"/>
      <c r="AX16" s="59471"/>
      <c r="AY16" s="59471"/>
      <c r="AZ16" s="59471"/>
      <c r="BA16" s="59471"/>
      <c r="BB16" s="59471"/>
      <c r="BC16" s="59471"/>
      <c r="BD16" s="59471"/>
      <c r="BE16" s="59471"/>
      <c r="BF16" s="59471"/>
      <c r="BG16" s="59471"/>
      <c r="BH16" s="59471"/>
      <c r="BI16" s="59471"/>
      <c r="BJ16" s="59471"/>
      <c r="BK16" s="59471"/>
      <c r="BL16" s="59471"/>
      <c r="BM16" s="59471"/>
      <c r="BN16" s="59471"/>
      <c r="BO16" s="59471"/>
      <c r="BP16" s="59471"/>
      <c r="BQ16" s="59471"/>
      <c r="BR16" s="59471"/>
      <c r="BS16" s="59471"/>
      <c r="BT16" s="59471"/>
      <c r="BU16" s="59471"/>
      <c r="BV16" s="59471"/>
      <c r="BW16" s="59471"/>
      <c r="BX16" s="59471"/>
      <c r="BY16" s="59471"/>
      <c r="BZ16" s="59471"/>
      <c r="CA16" s="59471"/>
      <c r="CB16" s="59471"/>
      <c r="CC16" s="59471"/>
      <c r="CD16" s="59471"/>
      <c r="CE16" s="59471"/>
      <c r="CF16" s="59471"/>
      <c r="CG16" s="59471"/>
      <c r="CH16" s="59471"/>
      <c r="CI16" s="59471"/>
      <c r="CJ16" s="59471"/>
      <c r="CK16" s="59471"/>
      <c r="CL16" s="59471"/>
      <c r="CM16" s="59471"/>
      <c r="CN16" s="59471"/>
      <c r="CO16" s="59471"/>
      <c r="CP16" s="59471"/>
      <c r="CQ16" s="59471"/>
      <c r="CR16" s="59471"/>
      <c r="CS16" s="59471"/>
      <c r="CT16" s="59471"/>
      <c r="DB16" s="1667">
        <v>0</v>
      </c>
    </row>
    <row customHeight="1" ht="14.25" hidden="1">
      <c r="AI17" s="839"/>
      <c r="AJ17" s="59471"/>
      <c r="AK17" s="59471"/>
      <c r="AL17" s="59471"/>
      <c r="AM17" s="59471"/>
      <c r="AN17" s="59471"/>
      <c r="AO17" s="59471"/>
      <c r="AP17" s="59471"/>
      <c r="AQ17" s="59471"/>
      <c r="AR17" s="59471"/>
      <c r="AS17" s="59471"/>
      <c r="AT17" s="59471"/>
      <c r="AU17" s="59471"/>
      <c r="AV17" s="59471"/>
      <c r="AW17" s="59471"/>
      <c r="AX17" s="59471"/>
      <c r="AY17" s="59471"/>
      <c r="AZ17" s="59471"/>
      <c r="BA17" s="59471"/>
      <c r="BB17" s="59471"/>
      <c r="BC17" s="59471"/>
      <c r="BD17" s="59471"/>
      <c r="BE17" s="59471"/>
      <c r="BF17" s="59471"/>
      <c r="BG17" s="59471"/>
      <c r="BH17" s="59471"/>
      <c r="BI17" s="59471"/>
      <c r="BJ17" s="59471"/>
      <c r="BK17" s="59471"/>
      <c r="BL17" s="59471"/>
      <c r="BM17" s="59471"/>
      <c r="BN17" s="59471"/>
      <c r="BO17" s="59471"/>
      <c r="BP17" s="59471"/>
      <c r="BQ17" s="59471"/>
      <c r="BR17" s="59471"/>
      <c r="BS17" s="59471"/>
      <c r="BT17" s="59471"/>
      <c r="BU17" s="59471"/>
      <c r="BV17" s="59471"/>
      <c r="BW17" s="59471"/>
      <c r="BX17" s="59471"/>
      <c r="BY17" s="59471"/>
      <c r="BZ17" s="59471"/>
      <c r="CA17" s="59471"/>
      <c r="CB17" s="59471"/>
      <c r="CC17" s="59471"/>
      <c r="CD17" s="59471"/>
      <c r="CE17" s="59471"/>
      <c r="CF17" s="59471"/>
      <c r="CG17" s="59471"/>
      <c r="CH17" s="59471"/>
      <c r="CI17" s="59471"/>
      <c r="CJ17" s="59471"/>
      <c r="CK17" s="59471"/>
      <c r="CL17" s="59471"/>
      <c r="CM17" s="59471"/>
      <c r="CN17" s="59471"/>
      <c r="CO17" s="59471"/>
      <c r="CP17" s="59471"/>
      <c r="CQ17" s="59471"/>
      <c r="CR17" s="59471"/>
      <c r="CS17" s="59471"/>
      <c r="CT17" s="59471"/>
      <c r="DB17" s="1667">
        <v>0</v>
      </c>
    </row>
    <row s="50881" customFormat="1" customHeight="1" ht="22.5" hidden="1">
      <c r="L18" s="1959"/>
      <c r="M18" s="1874"/>
      <c r="N18" s="1874"/>
      <c r="O18" s="1879" t="s">
        <v>554</v>
      </c>
      <c r="P18" s="1874"/>
      <c r="Q18" s="1883"/>
      <c r="R18" s="1883"/>
      <c r="S18" s="1241"/>
      <c r="Y18" s="1879"/>
      <c r="AA18" s="1879"/>
      <c r="AB18" s="1878"/>
      <c r="AF18" s="1879"/>
      <c r="AH18" s="1879"/>
      <c r="AI18" s="1878"/>
      <c r="AJ18" s="59683"/>
      <c r="AK18" s="59683"/>
      <c r="AL18" s="59683"/>
      <c r="AM18" s="59684"/>
      <c r="AN18" s="59683"/>
      <c r="AO18" s="59684"/>
      <c r="AP18" s="59683"/>
      <c r="AQ18" s="59683"/>
      <c r="AR18" s="59683"/>
      <c r="AS18" s="59683"/>
      <c r="AT18" s="59684"/>
      <c r="AU18" s="59683"/>
      <c r="AV18" s="59684"/>
      <c r="AW18" s="59683"/>
      <c r="AX18" s="59683"/>
      <c r="AY18" s="59683"/>
      <c r="AZ18" s="59683"/>
      <c r="BA18" s="59684"/>
      <c r="BB18" s="59683"/>
      <c r="BC18" s="59684"/>
      <c r="BD18" s="59683"/>
      <c r="BE18" s="59683"/>
      <c r="BF18" s="59683"/>
      <c r="BG18" s="59683"/>
      <c r="BH18" s="59684"/>
      <c r="BI18" s="59683"/>
      <c r="BJ18" s="59684"/>
      <c r="BK18" s="59683"/>
      <c r="BL18" s="59683"/>
      <c r="BM18" s="59683"/>
      <c r="BN18" s="59683"/>
      <c r="BO18" s="59684"/>
      <c r="BP18" s="59683"/>
      <c r="BQ18" s="59684"/>
      <c r="BR18" s="59683"/>
      <c r="BS18" s="59683"/>
      <c r="BT18" s="59683"/>
      <c r="BU18" s="59683"/>
      <c r="BV18" s="59684"/>
      <c r="BW18" s="59683"/>
      <c r="BX18" s="59684"/>
      <c r="BY18" s="59683"/>
      <c r="BZ18" s="59683"/>
      <c r="CA18" s="59683"/>
      <c r="CB18" s="59683"/>
      <c r="CC18" s="59684"/>
      <c r="CD18" s="59683"/>
      <c r="CE18" s="59684"/>
      <c r="CF18" s="59683"/>
      <c r="CG18" s="59683"/>
      <c r="CH18" s="59683"/>
      <c r="CI18" s="59683"/>
      <c r="CJ18" s="59684"/>
      <c r="CK18" s="59683"/>
      <c r="CL18" s="59684"/>
      <c r="CM18" s="59683"/>
      <c r="CN18" s="59683"/>
      <c r="CO18" s="59683"/>
      <c r="CP18" s="59683"/>
      <c r="CQ18" s="59684"/>
      <c r="CR18" s="59683"/>
      <c r="CS18" s="59684"/>
      <c r="CT18" s="59683"/>
      <c r="CW18" s="1023"/>
      <c r="CX18" s="1023"/>
      <c r="CY18" s="1023"/>
      <c r="CZ18" s="1023"/>
      <c r="DA18" s="1023"/>
      <c r="DB18" s="1672">
        <v>0</v>
      </c>
    </row>
    <row s="50881" customFormat="1" customHeight="1" ht="14.25" hidden="1">
      <c r="L19" s="1959"/>
      <c r="M19" s="1874"/>
      <c r="N19" s="1874"/>
      <c r="O19" s="1874"/>
      <c r="P19" s="1874"/>
      <c r="Q19" s="1883"/>
      <c r="R19" s="1883"/>
      <c r="S19" s="1241"/>
      <c r="AB19" s="1878"/>
      <c r="AI19" s="1878"/>
      <c r="AJ19" s="59683"/>
      <c r="AK19" s="59683"/>
      <c r="AL19" s="59683"/>
      <c r="AM19" s="59683"/>
      <c r="AN19" s="59683"/>
      <c r="AO19" s="59683"/>
      <c r="AP19" s="59683"/>
      <c r="AQ19" s="59683"/>
      <c r="AR19" s="59683"/>
      <c r="AS19" s="59683"/>
      <c r="AT19" s="59683"/>
      <c r="AU19" s="59683"/>
      <c r="AV19" s="59683"/>
      <c r="AW19" s="59683"/>
      <c r="AX19" s="59683"/>
      <c r="AY19" s="59683"/>
      <c r="AZ19" s="59683"/>
      <c r="BA19" s="59683"/>
      <c r="BB19" s="59683"/>
      <c r="BC19" s="59683"/>
      <c r="BD19" s="59683"/>
      <c r="BE19" s="59683"/>
      <c r="BF19" s="59683"/>
      <c r="BG19" s="59683"/>
      <c r="BH19" s="59683"/>
      <c r="BI19" s="59683"/>
      <c r="BJ19" s="59683"/>
      <c r="BK19" s="59683"/>
      <c r="BL19" s="59683"/>
      <c r="BM19" s="59683"/>
      <c r="BN19" s="59683"/>
      <c r="BO19" s="59683"/>
      <c r="BP19" s="59683"/>
      <c r="BQ19" s="59683"/>
      <c r="BR19" s="59683"/>
      <c r="BS19" s="59683"/>
      <c r="BT19" s="59683"/>
      <c r="BU19" s="59683"/>
      <c r="BV19" s="59683"/>
      <c r="BW19" s="59683"/>
      <c r="BX19" s="59683"/>
      <c r="BY19" s="59683"/>
      <c r="BZ19" s="59683"/>
      <c r="CA19" s="59683"/>
      <c r="CB19" s="59683"/>
      <c r="CC19" s="59683"/>
      <c r="CD19" s="59683"/>
      <c r="CE19" s="59683"/>
      <c r="CF19" s="59683"/>
      <c r="CG19" s="59683"/>
      <c r="CH19" s="59683"/>
      <c r="CI19" s="59683"/>
      <c r="CJ19" s="59683"/>
      <c r="CK19" s="59683"/>
      <c r="CL19" s="59683"/>
      <c r="CM19" s="59683"/>
      <c r="CN19" s="59683"/>
      <c r="CO19" s="59683"/>
      <c r="CP19" s="59683"/>
      <c r="CQ19" s="59683"/>
      <c r="CR19" s="59683"/>
      <c r="CS19" s="59683"/>
      <c r="CT19" s="59683"/>
      <c r="CW19" s="1023"/>
      <c r="CX19" s="1023"/>
      <c r="CY19" s="1023"/>
      <c r="CZ19" s="1023"/>
      <c r="DA19" s="1023"/>
      <c r="DB19" s="1672">
        <v>0</v>
      </c>
    </row>
    <row s="50881" customFormat="1" customHeight="1" ht="12" hidden="1">
      <c r="L20" s="1959"/>
      <c r="M20" s="1874"/>
      <c r="N20" s="1874"/>
      <c r="O20" s="1876" t="s">
        <v>555</v>
      </c>
      <c r="P20" s="1874"/>
      <c r="Q20" s="1954"/>
      <c r="R20" s="1954"/>
      <c r="S20" s="1241"/>
      <c r="T20" s="1672" t="s">
        <v>556</v>
      </c>
      <c r="Z20" s="698" t="s">
        <v>557</v>
      </c>
      <c r="AB20" s="698" t="s">
        <v>558</v>
      </c>
      <c r="AC20" s="1672" t="s">
        <v>556</v>
      </c>
      <c r="AG20" s="698" t="s">
        <v>559</v>
      </c>
      <c r="AI20" s="698" t="s">
        <v>558</v>
      </c>
      <c r="AJ20" s="59683"/>
      <c r="AK20" s="59683"/>
      <c r="AL20" s="59683"/>
      <c r="AM20" s="59683"/>
      <c r="AN20" s="59685" t="s">
        <v>557</v>
      </c>
      <c r="AO20" s="59683"/>
      <c r="AP20" s="59685" t="s">
        <v>558</v>
      </c>
      <c r="AQ20" s="59683"/>
      <c r="AR20" s="59683"/>
      <c r="AS20" s="59683"/>
      <c r="AT20" s="59683"/>
      <c r="AU20" s="59685" t="s">
        <v>557</v>
      </c>
      <c r="AV20" s="59683"/>
      <c r="AW20" s="59685" t="s">
        <v>558</v>
      </c>
      <c r="AX20" s="59683"/>
      <c r="AY20" s="59683"/>
      <c r="AZ20" s="59683"/>
      <c r="BA20" s="59683"/>
      <c r="BB20" s="59685" t="s">
        <v>557</v>
      </c>
      <c r="BC20" s="59683"/>
      <c r="BD20" s="59685" t="s">
        <v>558</v>
      </c>
      <c r="BE20" s="59683"/>
      <c r="BF20" s="59683"/>
      <c r="BG20" s="59683"/>
      <c r="BH20" s="59683"/>
      <c r="BI20" s="59685" t="s">
        <v>557</v>
      </c>
      <c r="BJ20" s="59683"/>
      <c r="BK20" s="59685" t="s">
        <v>558</v>
      </c>
      <c r="BL20" s="59683"/>
      <c r="BM20" s="59683"/>
      <c r="BN20" s="59683"/>
      <c r="BO20" s="59683"/>
      <c r="BP20" s="59685" t="s">
        <v>557</v>
      </c>
      <c r="BQ20" s="59683"/>
      <c r="BR20" s="59685" t="s">
        <v>558</v>
      </c>
      <c r="BS20" s="59683"/>
      <c r="BT20" s="59683"/>
      <c r="BU20" s="59683"/>
      <c r="BV20" s="59683"/>
      <c r="BW20" s="59685" t="s">
        <v>557</v>
      </c>
      <c r="BX20" s="59683"/>
      <c r="BY20" s="59685" t="s">
        <v>558</v>
      </c>
      <c r="BZ20" s="59683"/>
      <c r="CA20" s="59683"/>
      <c r="CB20" s="59683"/>
      <c r="CC20" s="59683"/>
      <c r="CD20" s="59685" t="s">
        <v>557</v>
      </c>
      <c r="CE20" s="59683"/>
      <c r="CF20" s="59685" t="s">
        <v>558</v>
      </c>
      <c r="CG20" s="59683"/>
      <c r="CH20" s="59683"/>
      <c r="CI20" s="59683"/>
      <c r="CJ20" s="59683"/>
      <c r="CK20" s="59685" t="s">
        <v>557</v>
      </c>
      <c r="CL20" s="59683"/>
      <c r="CM20" s="59685" t="s">
        <v>558</v>
      </c>
      <c r="CN20" s="59683"/>
      <c r="CO20" s="59683"/>
      <c r="CP20" s="59683"/>
      <c r="CQ20" s="59683"/>
      <c r="CR20" s="59685" t="s">
        <v>557</v>
      </c>
      <c r="CS20" s="59683"/>
      <c r="CT20" s="59685" t="s">
        <v>558</v>
      </c>
      <c r="DB20" s="1672">
        <v>0</v>
      </c>
    </row>
    <row customHeight="1" ht="14.25" hidden="1">
      <c r="O21" s="1876"/>
      <c r="AJ21" s="59471"/>
      <c r="AK21" s="59471"/>
      <c r="AL21" s="59471"/>
      <c r="AM21" s="59471"/>
      <c r="AN21" s="59471"/>
      <c r="AO21" s="59471"/>
      <c r="AP21" s="59471"/>
      <c r="AQ21" s="59471"/>
      <c r="AR21" s="59471"/>
      <c r="AS21" s="59471"/>
      <c r="AT21" s="59471"/>
      <c r="AU21" s="59471"/>
      <c r="AV21" s="59471"/>
      <c r="AW21" s="59471"/>
      <c r="AX21" s="59471"/>
      <c r="AY21" s="59471"/>
      <c r="AZ21" s="59471"/>
      <c r="BA21" s="59471"/>
      <c r="BB21" s="59471"/>
      <c r="BC21" s="59471"/>
      <c r="BD21" s="59471"/>
      <c r="BE21" s="59471"/>
      <c r="BF21" s="59471"/>
      <c r="BG21" s="59471"/>
      <c r="BH21" s="59471"/>
      <c r="BI21" s="59471"/>
      <c r="BJ21" s="59471"/>
      <c r="BK21" s="59471"/>
      <c r="BL21" s="59471"/>
      <c r="BM21" s="59471"/>
      <c r="BN21" s="59471"/>
      <c r="BO21" s="59471"/>
      <c r="BP21" s="59471"/>
      <c r="BQ21" s="59471"/>
      <c r="BR21" s="59471"/>
      <c r="BS21" s="59471"/>
      <c r="BT21" s="59471"/>
      <c r="BU21" s="59471"/>
      <c r="BV21" s="59471"/>
      <c r="BW21" s="59471"/>
      <c r="BX21" s="59471"/>
      <c r="BY21" s="59471"/>
      <c r="BZ21" s="59471"/>
      <c r="CA21" s="59471"/>
      <c r="CB21" s="59471"/>
      <c r="CC21" s="59471"/>
      <c r="CD21" s="59471"/>
      <c r="CE21" s="59471"/>
      <c r="CF21" s="59471"/>
      <c r="CG21" s="59471"/>
      <c r="CH21" s="59471"/>
      <c r="CI21" s="59471"/>
      <c r="CJ21" s="59471"/>
      <c r="CK21" s="59471"/>
      <c r="CL21" s="59471"/>
      <c r="CM21" s="59471"/>
      <c r="CN21" s="59471"/>
      <c r="CO21" s="59471"/>
      <c r="CP21" s="59471"/>
      <c r="CQ21" s="59471"/>
      <c r="CR21" s="59471"/>
      <c r="CS21" s="59471"/>
      <c r="CT21" s="59471"/>
      <c r="DB21" s="1667">
        <v>0</v>
      </c>
    </row>
    <row customHeight="1" ht="14.25" hidden="1">
      <c r="O22" s="1876"/>
      <c r="AJ22" s="59471"/>
      <c r="AK22" s="59471"/>
      <c r="AL22" s="59471"/>
      <c r="AM22" s="59471"/>
      <c r="AN22" s="59471"/>
      <c r="AO22" s="59471"/>
      <c r="AP22" s="59471"/>
      <c r="AQ22" s="59471"/>
      <c r="AR22" s="59471"/>
      <c r="AS22" s="59471"/>
      <c r="AT22" s="59471"/>
      <c r="AU22" s="59471"/>
      <c r="AV22" s="59471"/>
      <c r="AW22" s="59471"/>
      <c r="AX22" s="59471"/>
      <c r="AY22" s="59471"/>
      <c r="AZ22" s="59471"/>
      <c r="BA22" s="59471"/>
      <c r="BB22" s="59471"/>
      <c r="BC22" s="59471"/>
      <c r="BD22" s="59471"/>
      <c r="BE22" s="59471"/>
      <c r="BF22" s="59471"/>
      <c r="BG22" s="59471"/>
      <c r="BH22" s="59471"/>
      <c r="BI22" s="59471"/>
      <c r="BJ22" s="59471"/>
      <c r="BK22" s="59471"/>
      <c r="BL22" s="59471"/>
      <c r="BM22" s="59471"/>
      <c r="BN22" s="59471"/>
      <c r="BO22" s="59471"/>
      <c r="BP22" s="59471"/>
      <c r="BQ22" s="59471"/>
      <c r="BR22" s="59471"/>
      <c r="BS22" s="59471"/>
      <c r="BT22" s="59471"/>
      <c r="BU22" s="59471"/>
      <c r="BV22" s="59471"/>
      <c r="BW22" s="59471"/>
      <c r="BX22" s="59471"/>
      <c r="BY22" s="59471"/>
      <c r="BZ22" s="59471"/>
      <c r="CA22" s="59471"/>
      <c r="CB22" s="59471"/>
      <c r="CC22" s="59471"/>
      <c r="CD22" s="59471"/>
      <c r="CE22" s="59471"/>
      <c r="CF22" s="59471"/>
      <c r="CG22" s="59471"/>
      <c r="CH22" s="59471"/>
      <c r="CI22" s="59471"/>
      <c r="CJ22" s="59471"/>
      <c r="CK22" s="59471"/>
      <c r="CL22" s="59471"/>
      <c r="CM22" s="59471"/>
      <c r="CN22" s="59471"/>
      <c r="CO22" s="59471"/>
      <c r="CP22" s="59471"/>
      <c r="CQ22" s="59471"/>
      <c r="CR22" s="59471"/>
      <c r="CS22" s="59471"/>
      <c r="CT22" s="59471"/>
      <c r="DB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J23" s="59471"/>
      <c r="AK23" s="59471"/>
      <c r="AL23" s="59471"/>
      <c r="AM23" s="59471"/>
      <c r="AN23" s="59471"/>
      <c r="AO23" s="59471"/>
      <c r="AP23" s="59471"/>
      <c r="AQ23" s="59471"/>
      <c r="AR23" s="59471"/>
      <c r="AS23" s="59471"/>
      <c r="AT23" s="59471"/>
      <c r="AU23" s="59471"/>
      <c r="AV23" s="59471"/>
      <c r="AW23" s="59471"/>
      <c r="AX23" s="59471"/>
      <c r="AY23" s="59471"/>
      <c r="AZ23" s="59471"/>
      <c r="BA23" s="59471"/>
      <c r="BB23" s="59471"/>
      <c r="BC23" s="59471"/>
      <c r="BD23" s="59471"/>
      <c r="BE23" s="59471"/>
      <c r="BF23" s="59471"/>
      <c r="BG23" s="59471"/>
      <c r="BH23" s="59471"/>
      <c r="BI23" s="59471"/>
      <c r="BJ23" s="59471"/>
      <c r="BK23" s="59471"/>
      <c r="BL23" s="59471"/>
      <c r="BM23" s="59471"/>
      <c r="BN23" s="59471"/>
      <c r="BO23" s="59471"/>
      <c r="BP23" s="59471"/>
      <c r="BQ23" s="59471"/>
      <c r="BR23" s="59471"/>
      <c r="BS23" s="59471"/>
      <c r="BT23" s="59471"/>
      <c r="BU23" s="59471"/>
      <c r="BV23" s="59471"/>
      <c r="BW23" s="59471"/>
      <c r="BX23" s="59471"/>
      <c r="BY23" s="59471"/>
      <c r="BZ23" s="59471"/>
      <c r="CA23" s="59471"/>
      <c r="CB23" s="59471"/>
      <c r="CC23" s="59471"/>
      <c r="CD23" s="59471"/>
      <c r="CE23" s="59471"/>
      <c r="CF23" s="59471"/>
      <c r="CG23" s="59471"/>
      <c r="CH23" s="59471"/>
      <c r="CI23" s="59471"/>
      <c r="CJ23" s="59471"/>
      <c r="CK23" s="59471"/>
      <c r="CL23" s="59471"/>
      <c r="CM23" s="59471"/>
      <c r="CN23" s="59471"/>
      <c r="CO23" s="59471"/>
      <c r="CP23" s="59471"/>
      <c r="CQ23" s="59471"/>
      <c r="CR23" s="59471"/>
      <c r="CS23" s="59471"/>
      <c r="CT23" s="59471"/>
      <c r="DB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J24" s="59686"/>
      <c r="AK24" s="59686"/>
      <c r="AL24" s="59686"/>
      <c r="AM24" s="59686"/>
      <c r="AN24" s="59686"/>
      <c r="AO24" s="59686"/>
      <c r="AP24" s="59686"/>
      <c r="AQ24" s="59686"/>
      <c r="AR24" s="59686"/>
      <c r="AS24" s="59686"/>
      <c r="AT24" s="59686"/>
      <c r="AU24" s="59686"/>
      <c r="AV24" s="59686"/>
      <c r="AW24" s="59686"/>
      <c r="AX24" s="59686"/>
      <c r="AY24" s="59686"/>
      <c r="AZ24" s="59686"/>
      <c r="BA24" s="59686"/>
      <c r="BB24" s="59686"/>
      <c r="BC24" s="59686"/>
      <c r="BD24" s="59686"/>
      <c r="BE24" s="59686"/>
      <c r="BF24" s="59686"/>
      <c r="BG24" s="59686"/>
      <c r="BH24" s="59686"/>
      <c r="BI24" s="59686"/>
      <c r="BJ24" s="59686"/>
      <c r="BK24" s="59686"/>
      <c r="BL24" s="59686"/>
      <c r="BM24" s="59686"/>
      <c r="BN24" s="59686"/>
      <c r="BO24" s="59686"/>
      <c r="BP24" s="59686"/>
      <c r="BQ24" s="59686"/>
      <c r="BR24" s="59686"/>
      <c r="BS24" s="59686"/>
      <c r="BT24" s="59686"/>
      <c r="BU24" s="59686"/>
      <c r="BV24" s="59686"/>
      <c r="BW24" s="59686"/>
      <c r="BX24" s="59686"/>
      <c r="BY24" s="59686"/>
      <c r="BZ24" s="59686"/>
      <c r="CA24" s="59686"/>
      <c r="CB24" s="59686"/>
      <c r="CC24" s="59686"/>
      <c r="CD24" s="59686"/>
      <c r="CE24" s="59686"/>
      <c r="CF24" s="59686"/>
      <c r="CG24" s="59686"/>
      <c r="CH24" s="59686"/>
      <c r="CI24" s="59686"/>
      <c r="CJ24" s="59686"/>
      <c r="CK24" s="59686"/>
      <c r="CL24" s="59686"/>
      <c r="CM24" s="59686"/>
      <c r="CN24" s="59686"/>
      <c r="CO24" s="59686"/>
      <c r="CP24" s="59686"/>
      <c r="CQ24" s="59686"/>
      <c r="CR24" s="59686"/>
      <c r="CS24" s="59686"/>
      <c r="CT24" s="59686"/>
      <c r="DB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J25" s="59687"/>
      <c r="AK25" s="59687"/>
      <c r="AL25" s="59687"/>
      <c r="AM25" s="59687"/>
      <c r="AN25" s="59687"/>
      <c r="AO25" s="59687"/>
      <c r="AP25" s="59687"/>
      <c r="AQ25" s="59687"/>
      <c r="AR25" s="59687"/>
      <c r="AS25" s="59687"/>
      <c r="AT25" s="59687"/>
      <c r="AU25" s="59687"/>
      <c r="AV25" s="59687"/>
      <c r="AW25" s="59687"/>
      <c r="AX25" s="59687"/>
      <c r="AY25" s="59687"/>
      <c r="AZ25" s="59687"/>
      <c r="BA25" s="59687"/>
      <c r="BB25" s="59687"/>
      <c r="BC25" s="59687"/>
      <c r="BD25" s="59687"/>
      <c r="BE25" s="59687"/>
      <c r="BF25" s="59687"/>
      <c r="BG25" s="59687"/>
      <c r="BH25" s="59687"/>
      <c r="BI25" s="59687"/>
      <c r="BJ25" s="59687"/>
      <c r="BK25" s="59687"/>
      <c r="BL25" s="59687"/>
      <c r="BM25" s="59687"/>
      <c r="BN25" s="59687"/>
      <c r="BO25" s="59687"/>
      <c r="BP25" s="59687"/>
      <c r="BQ25" s="59687"/>
      <c r="BR25" s="59687"/>
      <c r="BS25" s="59687"/>
      <c r="BT25" s="59687"/>
      <c r="BU25" s="59687"/>
      <c r="BV25" s="59687"/>
      <c r="BW25" s="59687"/>
      <c r="BX25" s="59687"/>
      <c r="BY25" s="59687"/>
      <c r="BZ25" s="59687"/>
      <c r="CA25" s="59687"/>
      <c r="CB25" s="59687"/>
      <c r="CC25" s="59687"/>
      <c r="CD25" s="59687"/>
      <c r="CE25" s="59687"/>
      <c r="CF25" s="59687"/>
      <c r="CG25" s="59687"/>
      <c r="CH25" s="59687"/>
      <c r="CI25" s="59687"/>
      <c r="CJ25" s="59687"/>
      <c r="CK25" s="59687"/>
      <c r="CL25" s="59687"/>
      <c r="CM25" s="59687"/>
      <c r="CN25" s="59687"/>
      <c r="CO25" s="59687"/>
      <c r="CP25" s="59687"/>
      <c r="CQ25" s="59687"/>
      <c r="CR25" s="59687"/>
      <c r="CS25" s="59687"/>
      <c r="CT25" s="59687"/>
      <c r="DB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59688"/>
      <c r="AK26" s="59688"/>
      <c r="AL26" s="59688"/>
      <c r="AM26" s="59688"/>
      <c r="AN26" s="59688"/>
      <c r="AO26" s="59688"/>
      <c r="AP26" s="59688"/>
      <c r="AQ26" s="59688"/>
      <c r="AR26" s="59688"/>
      <c r="AS26" s="59688"/>
      <c r="AT26" s="59688"/>
      <c r="AU26" s="59688"/>
      <c r="AV26" s="59688"/>
      <c r="AW26" s="59688"/>
      <c r="AX26" s="59688"/>
      <c r="AY26" s="59688"/>
      <c r="AZ26" s="59688"/>
      <c r="BA26" s="59688"/>
      <c r="BB26" s="59688"/>
      <c r="BC26" s="59688"/>
      <c r="BD26" s="59688"/>
      <c r="BE26" s="59688"/>
      <c r="BF26" s="59688"/>
      <c r="BG26" s="59688"/>
      <c r="BH26" s="59688"/>
      <c r="BI26" s="59688"/>
      <c r="BJ26" s="59688"/>
      <c r="BK26" s="59688"/>
      <c r="BL26" s="59688"/>
      <c r="BM26" s="59688"/>
      <c r="BN26" s="59688"/>
      <c r="BO26" s="59688"/>
      <c r="BP26" s="59688"/>
      <c r="BQ26" s="59688"/>
      <c r="BR26" s="59688"/>
      <c r="BS26" s="59688"/>
      <c r="BT26" s="59688"/>
      <c r="BU26" s="59688"/>
      <c r="BV26" s="59688"/>
      <c r="BW26" s="59688"/>
      <c r="BX26" s="59688"/>
      <c r="BY26" s="59688"/>
      <c r="BZ26" s="59688"/>
      <c r="CA26" s="59688"/>
      <c r="CB26" s="59688"/>
      <c r="CC26" s="59688"/>
      <c r="CD26" s="59688"/>
      <c r="CE26" s="59688"/>
      <c r="CF26" s="59688"/>
      <c r="CG26" s="59688"/>
      <c r="CH26" s="59688"/>
      <c r="CI26" s="59688"/>
      <c r="CJ26" s="59688"/>
      <c r="CK26" s="59688"/>
      <c r="CL26" s="59688"/>
      <c r="CM26" s="59688"/>
      <c r="CN26" s="59688"/>
      <c r="CO26" s="59688"/>
      <c r="CP26" s="59688"/>
      <c r="CQ26" s="59688"/>
      <c r="CR26" s="59688"/>
      <c r="CS26" s="59688"/>
      <c r="CT26" s="59688"/>
      <c r="CU26" s="1021"/>
      <c r="DB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59689" t="str">
        <f>IF(TITLE_NAME_OR_PR_CHANGE="",IF(TITLE_NAME_OR_PR="","",TITLE_NAME_OR_PR),TITLE_NAME_OR_PR_CHANGE)</f>
        <v>Агентство по тарифам Приморского края</v>
      </c>
      <c r="AK27" s="59689"/>
      <c r="AL27" s="59689"/>
      <c r="AM27" s="59689"/>
      <c r="AN27" s="59689"/>
      <c r="AO27" s="59689"/>
      <c r="AP27" s="59471"/>
      <c r="AQ27" s="59689" t="str">
        <f>IF(TITLE_NAME_OR_PR_CHANGE="",IF(TITLE_NAME_OR_PR="","",TITLE_NAME_OR_PR),TITLE_NAME_OR_PR_CHANGE)</f>
        <v>Агентство по тарифам Приморского края</v>
      </c>
      <c r="AR27" s="59689"/>
      <c r="AS27" s="59689"/>
      <c r="AT27" s="59689"/>
      <c r="AU27" s="59689"/>
      <c r="AV27" s="59689"/>
      <c r="AW27" s="59471"/>
      <c r="AX27" s="59689" t="str">
        <f>IF(TITLE_NAME_OR_PR_CHANGE="",IF(TITLE_NAME_OR_PR="","",TITLE_NAME_OR_PR),TITLE_NAME_OR_PR_CHANGE)</f>
        <v>Агентство по тарифам Приморского края</v>
      </c>
      <c r="AY27" s="59689"/>
      <c r="AZ27" s="59689"/>
      <c r="BA27" s="59689"/>
      <c r="BB27" s="59689"/>
      <c r="BC27" s="59689"/>
      <c r="BD27" s="59471"/>
      <c r="BE27" s="59689" t="str">
        <f>IF(TITLE_NAME_OR_PR_CHANGE="",IF(TITLE_NAME_OR_PR="","",TITLE_NAME_OR_PR),TITLE_NAME_OR_PR_CHANGE)</f>
        <v>Агентство по тарифам Приморского края</v>
      </c>
      <c r="BF27" s="59689"/>
      <c r="BG27" s="59689"/>
      <c r="BH27" s="59689"/>
      <c r="BI27" s="59689"/>
      <c r="BJ27" s="59689"/>
      <c r="BK27" s="59471"/>
      <c r="BL27" s="59689" t="str">
        <f>IF(TITLE_NAME_OR_PR_CHANGE="",IF(TITLE_NAME_OR_PR="","",TITLE_NAME_OR_PR),TITLE_NAME_OR_PR_CHANGE)</f>
        <v>Агентство по тарифам Приморского края</v>
      </c>
      <c r="BM27" s="59689"/>
      <c r="BN27" s="59689"/>
      <c r="BO27" s="59689"/>
      <c r="BP27" s="59689"/>
      <c r="BQ27" s="59689"/>
      <c r="BR27" s="59471"/>
      <c r="BS27" s="59689" t="str">
        <f>IF(TITLE_NAME_OR_PR_CHANGE="",IF(TITLE_NAME_OR_PR="","",TITLE_NAME_OR_PR),TITLE_NAME_OR_PR_CHANGE)</f>
        <v>Агентство по тарифам Приморского края</v>
      </c>
      <c r="BT27" s="59689"/>
      <c r="BU27" s="59689"/>
      <c r="BV27" s="59689"/>
      <c r="BW27" s="59689"/>
      <c r="BX27" s="59689"/>
      <c r="BY27" s="59471"/>
      <c r="BZ27" s="59689" t="str">
        <f>IF(TITLE_NAME_OR_PR_CHANGE="",IF(TITLE_NAME_OR_PR="","",TITLE_NAME_OR_PR),TITLE_NAME_OR_PR_CHANGE)</f>
        <v>Агентство по тарифам Приморского края</v>
      </c>
      <c r="CA27" s="59689"/>
      <c r="CB27" s="59689"/>
      <c r="CC27" s="59689"/>
      <c r="CD27" s="59689"/>
      <c r="CE27" s="59689"/>
      <c r="CF27" s="59471"/>
      <c r="CG27" s="59689" t="str">
        <f>IF(TITLE_NAME_OR_PR_CHANGE="",IF(TITLE_NAME_OR_PR="","",TITLE_NAME_OR_PR),TITLE_NAME_OR_PR_CHANGE)</f>
        <v>Агентство по тарифам Приморского края</v>
      </c>
      <c r="CH27" s="59689"/>
      <c r="CI27" s="59689"/>
      <c r="CJ27" s="59689"/>
      <c r="CK27" s="59689"/>
      <c r="CL27" s="59689"/>
      <c r="CM27" s="59471"/>
      <c r="CN27" s="59689" t="str">
        <f>IF(TITLE_NAME_OR_PR_CHANGE="",IF(TITLE_NAME_OR_PR="","",TITLE_NAME_OR_PR),TITLE_NAME_OR_PR_CHANGE)</f>
        <v>Агентство по тарифам Приморского края</v>
      </c>
      <c r="CO27" s="59689"/>
      <c r="CP27" s="59689"/>
      <c r="CQ27" s="59689"/>
      <c r="CR27" s="59689"/>
      <c r="CS27" s="59689"/>
      <c r="CT27" s="59471"/>
      <c r="CU27" s="838"/>
      <c r="CV27" s="792"/>
      <c r="CW27" s="880"/>
      <c r="CX27" s="880"/>
      <c r="CY27" s="880"/>
      <c r="CZ27" s="880"/>
      <c r="DA27" s="880"/>
      <c r="DB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59690" t="str">
        <f>IF(TITLE_DATE_PR_CHANGE="",IF(TITLE_DATE_PR="","",TITLE_DATE_PR),TITLE_DATE_PR_CHANGE)</f>
        <v>45631.710694444446</v>
      </c>
      <c r="AK28" s="59690"/>
      <c r="AL28" s="59690"/>
      <c r="AM28" s="59690"/>
      <c r="AN28" s="59690"/>
      <c r="AO28" s="59690"/>
      <c r="AP28" s="59471"/>
      <c r="AQ28" s="59690" t="str">
        <f>IF(TITLE_DATE_PR_CHANGE="",IF(TITLE_DATE_PR="","",TITLE_DATE_PR),TITLE_DATE_PR_CHANGE)</f>
        <v>45631.710694444446</v>
      </c>
      <c r="AR28" s="59690"/>
      <c r="AS28" s="59690"/>
      <c r="AT28" s="59690"/>
      <c r="AU28" s="59690"/>
      <c r="AV28" s="59690"/>
      <c r="AW28" s="59471"/>
      <c r="AX28" s="59690" t="str">
        <f>IF(TITLE_DATE_PR_CHANGE="",IF(TITLE_DATE_PR="","",TITLE_DATE_PR),TITLE_DATE_PR_CHANGE)</f>
        <v>45631.710694444446</v>
      </c>
      <c r="AY28" s="59690"/>
      <c r="AZ28" s="59690"/>
      <c r="BA28" s="59690"/>
      <c r="BB28" s="59690"/>
      <c r="BC28" s="59690"/>
      <c r="BD28" s="59471"/>
      <c r="BE28" s="59690" t="str">
        <f>IF(TITLE_DATE_PR_CHANGE="",IF(TITLE_DATE_PR="","",TITLE_DATE_PR),TITLE_DATE_PR_CHANGE)</f>
        <v>45631.710694444446</v>
      </c>
      <c r="BF28" s="59690"/>
      <c r="BG28" s="59690"/>
      <c r="BH28" s="59690"/>
      <c r="BI28" s="59690"/>
      <c r="BJ28" s="59690"/>
      <c r="BK28" s="59471"/>
      <c r="BL28" s="59690" t="str">
        <f>IF(TITLE_DATE_PR_CHANGE="",IF(TITLE_DATE_PR="","",TITLE_DATE_PR),TITLE_DATE_PR_CHANGE)</f>
        <v>45631.710694444446</v>
      </c>
      <c r="BM28" s="59690"/>
      <c r="BN28" s="59690"/>
      <c r="BO28" s="59690"/>
      <c r="BP28" s="59690"/>
      <c r="BQ28" s="59690"/>
      <c r="BR28" s="59471"/>
      <c r="BS28" s="59690" t="str">
        <f>IF(TITLE_DATE_PR_CHANGE="",IF(TITLE_DATE_PR="","",TITLE_DATE_PR),TITLE_DATE_PR_CHANGE)</f>
        <v>45631.710694444446</v>
      </c>
      <c r="BT28" s="59690"/>
      <c r="BU28" s="59690"/>
      <c r="BV28" s="59690"/>
      <c r="BW28" s="59690"/>
      <c r="BX28" s="59690"/>
      <c r="BY28" s="59471"/>
      <c r="BZ28" s="59690" t="str">
        <f>IF(TITLE_DATE_PR_CHANGE="",IF(TITLE_DATE_PR="","",TITLE_DATE_PR),TITLE_DATE_PR_CHANGE)</f>
        <v>45631.710694444446</v>
      </c>
      <c r="CA28" s="59690"/>
      <c r="CB28" s="59690"/>
      <c r="CC28" s="59690"/>
      <c r="CD28" s="59690"/>
      <c r="CE28" s="59690"/>
      <c r="CF28" s="59471"/>
      <c r="CG28" s="59690" t="str">
        <f>IF(TITLE_DATE_PR_CHANGE="",IF(TITLE_DATE_PR="","",TITLE_DATE_PR),TITLE_DATE_PR_CHANGE)</f>
        <v>45631.710694444446</v>
      </c>
      <c r="CH28" s="59690"/>
      <c r="CI28" s="59690"/>
      <c r="CJ28" s="59690"/>
      <c r="CK28" s="59690"/>
      <c r="CL28" s="59690"/>
      <c r="CM28" s="59471"/>
      <c r="CN28" s="59690" t="str">
        <f>IF(TITLE_DATE_PR_CHANGE="",IF(TITLE_DATE_PR="","",TITLE_DATE_PR),TITLE_DATE_PR_CHANGE)</f>
        <v>45631.710694444446</v>
      </c>
      <c r="CO28" s="59690"/>
      <c r="CP28" s="59690"/>
      <c r="CQ28" s="59690"/>
      <c r="CR28" s="59690"/>
      <c r="CS28" s="59690"/>
      <c r="CT28" s="59471"/>
      <c r="CU28" s="838"/>
      <c r="CV28" s="792"/>
      <c r="CW28" s="880"/>
      <c r="CX28" s="880"/>
      <c r="CY28" s="880"/>
      <c r="CZ28" s="880"/>
      <c r="DA28" s="880"/>
      <c r="DB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59689" t="str">
        <f>IF(TITLE_NUMBER_PR_CHANGE="",IF(TITLE_NUMBER_PR="","",TITLE_NUMBER_PR),TITLE_NUMBER_PR_CHANGE)</f>
        <v>53/9</v>
      </c>
      <c r="AK29" s="59689"/>
      <c r="AL29" s="59689"/>
      <c r="AM29" s="59689"/>
      <c r="AN29" s="59689"/>
      <c r="AO29" s="59689"/>
      <c r="AP29" s="59471"/>
      <c r="AQ29" s="59689" t="str">
        <f>IF(TITLE_NUMBER_PR_CHANGE="",IF(TITLE_NUMBER_PR="","",TITLE_NUMBER_PR),TITLE_NUMBER_PR_CHANGE)</f>
        <v>53/9</v>
      </c>
      <c r="AR29" s="59689"/>
      <c r="AS29" s="59689"/>
      <c r="AT29" s="59689"/>
      <c r="AU29" s="59689"/>
      <c r="AV29" s="59689"/>
      <c r="AW29" s="59471"/>
      <c r="AX29" s="59689" t="str">
        <f>IF(TITLE_NUMBER_PR_CHANGE="",IF(TITLE_NUMBER_PR="","",TITLE_NUMBER_PR),TITLE_NUMBER_PR_CHANGE)</f>
        <v>53/9</v>
      </c>
      <c r="AY29" s="59689"/>
      <c r="AZ29" s="59689"/>
      <c r="BA29" s="59689"/>
      <c r="BB29" s="59689"/>
      <c r="BC29" s="59689"/>
      <c r="BD29" s="59471"/>
      <c r="BE29" s="59689" t="str">
        <f>IF(TITLE_NUMBER_PR_CHANGE="",IF(TITLE_NUMBER_PR="","",TITLE_NUMBER_PR),TITLE_NUMBER_PR_CHANGE)</f>
        <v>53/9</v>
      </c>
      <c r="BF29" s="59689"/>
      <c r="BG29" s="59689"/>
      <c r="BH29" s="59689"/>
      <c r="BI29" s="59689"/>
      <c r="BJ29" s="59689"/>
      <c r="BK29" s="59471"/>
      <c r="BL29" s="59689" t="str">
        <f>IF(TITLE_NUMBER_PR_CHANGE="",IF(TITLE_NUMBER_PR="","",TITLE_NUMBER_PR),TITLE_NUMBER_PR_CHANGE)</f>
        <v>53/9</v>
      </c>
      <c r="BM29" s="59689"/>
      <c r="BN29" s="59689"/>
      <c r="BO29" s="59689"/>
      <c r="BP29" s="59689"/>
      <c r="BQ29" s="59689"/>
      <c r="BR29" s="59471"/>
      <c r="BS29" s="59689" t="str">
        <f>IF(TITLE_NUMBER_PR_CHANGE="",IF(TITLE_NUMBER_PR="","",TITLE_NUMBER_PR),TITLE_NUMBER_PR_CHANGE)</f>
        <v>53/9</v>
      </c>
      <c r="BT29" s="59689"/>
      <c r="BU29" s="59689"/>
      <c r="BV29" s="59689"/>
      <c r="BW29" s="59689"/>
      <c r="BX29" s="59689"/>
      <c r="BY29" s="59471"/>
      <c r="BZ29" s="59689" t="str">
        <f>IF(TITLE_NUMBER_PR_CHANGE="",IF(TITLE_NUMBER_PR="","",TITLE_NUMBER_PR),TITLE_NUMBER_PR_CHANGE)</f>
        <v>53/9</v>
      </c>
      <c r="CA29" s="59689"/>
      <c r="CB29" s="59689"/>
      <c r="CC29" s="59689"/>
      <c r="CD29" s="59689"/>
      <c r="CE29" s="59689"/>
      <c r="CF29" s="59471"/>
      <c r="CG29" s="59689" t="str">
        <f>IF(TITLE_NUMBER_PR_CHANGE="",IF(TITLE_NUMBER_PR="","",TITLE_NUMBER_PR),TITLE_NUMBER_PR_CHANGE)</f>
        <v>53/9</v>
      </c>
      <c r="CH29" s="59689"/>
      <c r="CI29" s="59689"/>
      <c r="CJ29" s="59689"/>
      <c r="CK29" s="59689"/>
      <c r="CL29" s="59689"/>
      <c r="CM29" s="59471"/>
      <c r="CN29" s="59689" t="str">
        <f>IF(TITLE_NUMBER_PR_CHANGE="",IF(TITLE_NUMBER_PR="","",TITLE_NUMBER_PR),TITLE_NUMBER_PR_CHANGE)</f>
        <v>53/9</v>
      </c>
      <c r="CO29" s="59689"/>
      <c r="CP29" s="59689"/>
      <c r="CQ29" s="59689"/>
      <c r="CR29" s="59689"/>
      <c r="CS29" s="59689"/>
      <c r="CT29" s="59471"/>
      <c r="CU29" s="838"/>
      <c r="CV29" s="792"/>
      <c r="CW29" s="880"/>
      <c r="CX29" s="880"/>
      <c r="CY29" s="880"/>
      <c r="CZ29" s="880"/>
      <c r="DA29" s="880"/>
      <c r="DB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59689" t="str">
        <f>IF(TITLE_IST_PUB_CHANGE="",IF(TITLE_IST_PUB="","",TITLE_IST_PUB),TITLE_IST_PUB_CHANGE)</f>
        <v>http://pravo.gov.ru</v>
      </c>
      <c r="AK30" s="59689"/>
      <c r="AL30" s="59689"/>
      <c r="AM30" s="59689"/>
      <c r="AN30" s="59689"/>
      <c r="AO30" s="59689"/>
      <c r="AP30" s="59471"/>
      <c r="AQ30" s="59689" t="str">
        <f>IF(TITLE_IST_PUB_CHANGE="",IF(TITLE_IST_PUB="","",TITLE_IST_PUB),TITLE_IST_PUB_CHANGE)</f>
        <v>http://pravo.gov.ru</v>
      </c>
      <c r="AR30" s="59689"/>
      <c r="AS30" s="59689"/>
      <c r="AT30" s="59689"/>
      <c r="AU30" s="59689"/>
      <c r="AV30" s="59689"/>
      <c r="AW30" s="59471"/>
      <c r="AX30" s="59689" t="str">
        <f>IF(TITLE_IST_PUB_CHANGE="",IF(TITLE_IST_PUB="","",TITLE_IST_PUB),TITLE_IST_PUB_CHANGE)</f>
        <v>http://pravo.gov.ru</v>
      </c>
      <c r="AY30" s="59689"/>
      <c r="AZ30" s="59689"/>
      <c r="BA30" s="59689"/>
      <c r="BB30" s="59689"/>
      <c r="BC30" s="59689"/>
      <c r="BD30" s="59471"/>
      <c r="BE30" s="59689" t="str">
        <f>IF(TITLE_IST_PUB_CHANGE="",IF(TITLE_IST_PUB="","",TITLE_IST_PUB),TITLE_IST_PUB_CHANGE)</f>
        <v>http://pravo.gov.ru</v>
      </c>
      <c r="BF30" s="59689"/>
      <c r="BG30" s="59689"/>
      <c r="BH30" s="59689"/>
      <c r="BI30" s="59689"/>
      <c r="BJ30" s="59689"/>
      <c r="BK30" s="59471"/>
      <c r="BL30" s="59689" t="str">
        <f>IF(TITLE_IST_PUB_CHANGE="",IF(TITLE_IST_PUB="","",TITLE_IST_PUB),TITLE_IST_PUB_CHANGE)</f>
        <v>http://pravo.gov.ru</v>
      </c>
      <c r="BM30" s="59689"/>
      <c r="BN30" s="59689"/>
      <c r="BO30" s="59689"/>
      <c r="BP30" s="59689"/>
      <c r="BQ30" s="59689"/>
      <c r="BR30" s="59471"/>
      <c r="BS30" s="59689" t="str">
        <f>IF(TITLE_IST_PUB_CHANGE="",IF(TITLE_IST_PUB="","",TITLE_IST_PUB),TITLE_IST_PUB_CHANGE)</f>
        <v>http://pravo.gov.ru</v>
      </c>
      <c r="BT30" s="59689"/>
      <c r="BU30" s="59689"/>
      <c r="BV30" s="59689"/>
      <c r="BW30" s="59689"/>
      <c r="BX30" s="59689"/>
      <c r="BY30" s="59471"/>
      <c r="BZ30" s="59689" t="str">
        <f>IF(TITLE_IST_PUB_CHANGE="",IF(TITLE_IST_PUB="","",TITLE_IST_PUB),TITLE_IST_PUB_CHANGE)</f>
        <v>http://pravo.gov.ru</v>
      </c>
      <c r="CA30" s="59689"/>
      <c r="CB30" s="59689"/>
      <c r="CC30" s="59689"/>
      <c r="CD30" s="59689"/>
      <c r="CE30" s="59689"/>
      <c r="CF30" s="59471"/>
      <c r="CG30" s="59689" t="str">
        <f>IF(TITLE_IST_PUB_CHANGE="",IF(TITLE_IST_PUB="","",TITLE_IST_PUB),TITLE_IST_PUB_CHANGE)</f>
        <v>http://pravo.gov.ru</v>
      </c>
      <c r="CH30" s="59689"/>
      <c r="CI30" s="59689"/>
      <c r="CJ30" s="59689"/>
      <c r="CK30" s="59689"/>
      <c r="CL30" s="59689"/>
      <c r="CM30" s="59471"/>
      <c r="CN30" s="59689" t="str">
        <f>IF(TITLE_IST_PUB_CHANGE="",IF(TITLE_IST_PUB="","",TITLE_IST_PUB),TITLE_IST_PUB_CHANGE)</f>
        <v>http://pravo.gov.ru</v>
      </c>
      <c r="CO30" s="59689"/>
      <c r="CP30" s="59689"/>
      <c r="CQ30" s="59689"/>
      <c r="CR30" s="59689"/>
      <c r="CS30" s="59689"/>
      <c r="CT30" s="59471"/>
      <c r="CU30" s="838"/>
      <c r="CV30" s="792"/>
      <c r="CW30" s="880"/>
      <c r="CX30" s="880"/>
      <c r="CY30" s="880"/>
      <c r="CZ30" s="880"/>
      <c r="DA30" s="880"/>
      <c r="DB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59688"/>
      <c r="AK31" s="59688"/>
      <c r="AL31" s="59688"/>
      <c r="AM31" s="59688"/>
      <c r="AN31" s="59688"/>
      <c r="AO31" s="59688"/>
      <c r="AP31" s="59688"/>
      <c r="AQ31" s="59688"/>
      <c r="AR31" s="59688"/>
      <c r="AS31" s="59688"/>
      <c r="AT31" s="59688"/>
      <c r="AU31" s="59688"/>
      <c r="AV31" s="59688"/>
      <c r="AW31" s="59688"/>
      <c r="AX31" s="59688"/>
      <c r="AY31" s="59688"/>
      <c r="AZ31" s="59688"/>
      <c r="BA31" s="59688"/>
      <c r="BB31" s="59688"/>
      <c r="BC31" s="59688"/>
      <c r="BD31" s="59688"/>
      <c r="BE31" s="59688"/>
      <c r="BF31" s="59688"/>
      <c r="BG31" s="59688"/>
      <c r="BH31" s="59688"/>
      <c r="BI31" s="59688"/>
      <c r="BJ31" s="59688"/>
      <c r="BK31" s="59688"/>
      <c r="BL31" s="59688"/>
      <c r="BM31" s="59688"/>
      <c r="BN31" s="59688"/>
      <c r="BO31" s="59688"/>
      <c r="BP31" s="59688"/>
      <c r="BQ31" s="59688"/>
      <c r="BR31" s="59688"/>
      <c r="BS31" s="59688"/>
      <c r="BT31" s="59688"/>
      <c r="BU31" s="59688"/>
      <c r="BV31" s="59688"/>
      <c r="BW31" s="59688"/>
      <c r="BX31" s="59688"/>
      <c r="BY31" s="59688"/>
      <c r="BZ31" s="59688"/>
      <c r="CA31" s="59688"/>
      <c r="CB31" s="59688"/>
      <c r="CC31" s="59688"/>
      <c r="CD31" s="59688"/>
      <c r="CE31" s="59688"/>
      <c r="CF31" s="59688"/>
      <c r="CG31" s="59688"/>
      <c r="CH31" s="59688"/>
      <c r="CI31" s="59688"/>
      <c r="CJ31" s="59688"/>
      <c r="CK31" s="59688"/>
      <c r="CL31" s="59688"/>
      <c r="CM31" s="59688"/>
      <c r="CN31" s="59688"/>
      <c r="CO31" s="59688"/>
      <c r="CP31" s="59688"/>
      <c r="CQ31" s="59688"/>
      <c r="CR31" s="59688"/>
      <c r="CS31" s="59688"/>
      <c r="CT31" s="59688"/>
      <c r="CU31" s="1021"/>
      <c r="DB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59690" t="str">
        <f>IF(TITLE_DATE_PR_CHANGE="",IF(TITLE_DATE_PR="","",TITLE_DATE_PR),TITLE_DATE_PR_CHANGE)</f>
        <v>45631.710694444446</v>
      </c>
      <c r="AK32" s="59690"/>
      <c r="AL32" s="59690"/>
      <c r="AM32" s="59690"/>
      <c r="AN32" s="59690"/>
      <c r="AO32" s="59690"/>
      <c r="AP32" s="59471"/>
      <c r="AQ32" s="59690" t="str">
        <f>IF(TITLE_DATE_PR_CHANGE="",IF(TITLE_DATE_PR="","",TITLE_DATE_PR),TITLE_DATE_PR_CHANGE)</f>
        <v>45631.710694444446</v>
      </c>
      <c r="AR32" s="59690"/>
      <c r="AS32" s="59690"/>
      <c r="AT32" s="59690"/>
      <c r="AU32" s="59690"/>
      <c r="AV32" s="59690"/>
      <c r="AW32" s="59471"/>
      <c r="AX32" s="59690" t="str">
        <f>IF(TITLE_DATE_PR_CHANGE="",IF(TITLE_DATE_PR="","",TITLE_DATE_PR),TITLE_DATE_PR_CHANGE)</f>
        <v>45631.710694444446</v>
      </c>
      <c r="AY32" s="59690"/>
      <c r="AZ32" s="59690"/>
      <c r="BA32" s="59690"/>
      <c r="BB32" s="59690"/>
      <c r="BC32" s="59690"/>
      <c r="BD32" s="59471"/>
      <c r="BE32" s="59690" t="str">
        <f>IF(TITLE_DATE_PR_CHANGE="",IF(TITLE_DATE_PR="","",TITLE_DATE_PR),TITLE_DATE_PR_CHANGE)</f>
        <v>45631.710694444446</v>
      </c>
      <c r="BF32" s="59690"/>
      <c r="BG32" s="59690"/>
      <c r="BH32" s="59690"/>
      <c r="BI32" s="59690"/>
      <c r="BJ32" s="59690"/>
      <c r="BK32" s="59471"/>
      <c r="BL32" s="59690" t="str">
        <f>IF(TITLE_DATE_PR_CHANGE="",IF(TITLE_DATE_PR="","",TITLE_DATE_PR),TITLE_DATE_PR_CHANGE)</f>
        <v>45631.710694444446</v>
      </c>
      <c r="BM32" s="59690"/>
      <c r="BN32" s="59690"/>
      <c r="BO32" s="59690"/>
      <c r="BP32" s="59690"/>
      <c r="BQ32" s="59690"/>
      <c r="BR32" s="59471"/>
      <c r="BS32" s="59690" t="str">
        <f>IF(TITLE_DATE_PR_CHANGE="",IF(TITLE_DATE_PR="","",TITLE_DATE_PR),TITLE_DATE_PR_CHANGE)</f>
        <v>45631.710694444446</v>
      </c>
      <c r="BT32" s="59690"/>
      <c r="BU32" s="59690"/>
      <c r="BV32" s="59690"/>
      <c r="BW32" s="59690"/>
      <c r="BX32" s="59690"/>
      <c r="BY32" s="59471"/>
      <c r="BZ32" s="59690" t="str">
        <f>IF(TITLE_DATE_PR_CHANGE="",IF(TITLE_DATE_PR="","",TITLE_DATE_PR),TITLE_DATE_PR_CHANGE)</f>
        <v>45631.710694444446</v>
      </c>
      <c r="CA32" s="59690"/>
      <c r="CB32" s="59690"/>
      <c r="CC32" s="59690"/>
      <c r="CD32" s="59690"/>
      <c r="CE32" s="59690"/>
      <c r="CF32" s="59471"/>
      <c r="CG32" s="59690" t="str">
        <f>IF(TITLE_DATE_PR_CHANGE="",IF(TITLE_DATE_PR="","",TITLE_DATE_PR),TITLE_DATE_PR_CHANGE)</f>
        <v>45631.710694444446</v>
      </c>
      <c r="CH32" s="59690"/>
      <c r="CI32" s="59690"/>
      <c r="CJ32" s="59690"/>
      <c r="CK32" s="59690"/>
      <c r="CL32" s="59690"/>
      <c r="CM32" s="59471"/>
      <c r="CN32" s="59690" t="str">
        <f>IF(TITLE_DATE_PR_CHANGE="",IF(TITLE_DATE_PR="","",TITLE_DATE_PR),TITLE_DATE_PR_CHANGE)</f>
        <v>45631.710694444446</v>
      </c>
      <c r="CO32" s="59690"/>
      <c r="CP32" s="59690"/>
      <c r="CQ32" s="59690"/>
      <c r="CR32" s="59690"/>
      <c r="CS32" s="59690"/>
      <c r="CT32" s="59471"/>
      <c r="CU32" s="838"/>
      <c r="CV32" s="792"/>
      <c r="CW32" s="880"/>
      <c r="CX32" s="880"/>
      <c r="CY32" s="880"/>
      <c r="CZ32" s="880"/>
      <c r="DA32" s="880"/>
      <c r="DB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59689" t="str">
        <f>IF(TITLE_NUMBER_PR_CHANGE="",IF(TITLE_NUMBER_PR="","",TITLE_NUMBER_PR),TITLE_NUMBER_PR_CHANGE)</f>
        <v>53/9</v>
      </c>
      <c r="AK33" s="59689"/>
      <c r="AL33" s="59689"/>
      <c r="AM33" s="59689"/>
      <c r="AN33" s="59689"/>
      <c r="AO33" s="59689"/>
      <c r="AP33" s="59471"/>
      <c r="AQ33" s="59689" t="str">
        <f>IF(TITLE_NUMBER_PR_CHANGE="",IF(TITLE_NUMBER_PR="","",TITLE_NUMBER_PR),TITLE_NUMBER_PR_CHANGE)</f>
        <v>53/9</v>
      </c>
      <c r="AR33" s="59689"/>
      <c r="AS33" s="59689"/>
      <c r="AT33" s="59689"/>
      <c r="AU33" s="59689"/>
      <c r="AV33" s="59689"/>
      <c r="AW33" s="59471"/>
      <c r="AX33" s="59689" t="str">
        <f>IF(TITLE_NUMBER_PR_CHANGE="",IF(TITLE_NUMBER_PR="","",TITLE_NUMBER_PR),TITLE_NUMBER_PR_CHANGE)</f>
        <v>53/9</v>
      </c>
      <c r="AY33" s="59689"/>
      <c r="AZ33" s="59689"/>
      <c r="BA33" s="59689"/>
      <c r="BB33" s="59689"/>
      <c r="BC33" s="59689"/>
      <c r="BD33" s="59471"/>
      <c r="BE33" s="59689" t="str">
        <f>IF(TITLE_NUMBER_PR_CHANGE="",IF(TITLE_NUMBER_PR="","",TITLE_NUMBER_PR),TITLE_NUMBER_PR_CHANGE)</f>
        <v>53/9</v>
      </c>
      <c r="BF33" s="59689"/>
      <c r="BG33" s="59689"/>
      <c r="BH33" s="59689"/>
      <c r="BI33" s="59689"/>
      <c r="BJ33" s="59689"/>
      <c r="BK33" s="59471"/>
      <c r="BL33" s="59689" t="str">
        <f>IF(TITLE_NUMBER_PR_CHANGE="",IF(TITLE_NUMBER_PR="","",TITLE_NUMBER_PR),TITLE_NUMBER_PR_CHANGE)</f>
        <v>53/9</v>
      </c>
      <c r="BM33" s="59689"/>
      <c r="BN33" s="59689"/>
      <c r="BO33" s="59689"/>
      <c r="BP33" s="59689"/>
      <c r="BQ33" s="59689"/>
      <c r="BR33" s="59471"/>
      <c r="BS33" s="59689" t="str">
        <f>IF(TITLE_NUMBER_PR_CHANGE="",IF(TITLE_NUMBER_PR="","",TITLE_NUMBER_PR),TITLE_NUMBER_PR_CHANGE)</f>
        <v>53/9</v>
      </c>
      <c r="BT33" s="59689"/>
      <c r="BU33" s="59689"/>
      <c r="BV33" s="59689"/>
      <c r="BW33" s="59689"/>
      <c r="BX33" s="59689"/>
      <c r="BY33" s="59471"/>
      <c r="BZ33" s="59689" t="str">
        <f>IF(TITLE_NUMBER_PR_CHANGE="",IF(TITLE_NUMBER_PR="","",TITLE_NUMBER_PR),TITLE_NUMBER_PR_CHANGE)</f>
        <v>53/9</v>
      </c>
      <c r="CA33" s="59689"/>
      <c r="CB33" s="59689"/>
      <c r="CC33" s="59689"/>
      <c r="CD33" s="59689"/>
      <c r="CE33" s="59689"/>
      <c r="CF33" s="59471"/>
      <c r="CG33" s="59689" t="str">
        <f>IF(TITLE_NUMBER_PR_CHANGE="",IF(TITLE_NUMBER_PR="","",TITLE_NUMBER_PR),TITLE_NUMBER_PR_CHANGE)</f>
        <v>53/9</v>
      </c>
      <c r="CH33" s="59689"/>
      <c r="CI33" s="59689"/>
      <c r="CJ33" s="59689"/>
      <c r="CK33" s="59689"/>
      <c r="CL33" s="59689"/>
      <c r="CM33" s="59471"/>
      <c r="CN33" s="59689" t="str">
        <f>IF(TITLE_NUMBER_PR_CHANGE="",IF(TITLE_NUMBER_PR="","",TITLE_NUMBER_PR),TITLE_NUMBER_PR_CHANGE)</f>
        <v>53/9</v>
      </c>
      <c r="CO33" s="59689"/>
      <c r="CP33" s="59689"/>
      <c r="CQ33" s="59689"/>
      <c r="CR33" s="59689"/>
      <c r="CS33" s="59689"/>
      <c r="CT33" s="59471"/>
      <c r="CU33" s="838"/>
      <c r="CV33" s="792"/>
      <c r="CW33" s="880"/>
      <c r="CX33" s="880"/>
      <c r="CY33" s="880"/>
      <c r="CZ33" s="880"/>
      <c r="DA33" s="880"/>
      <c r="DB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564</v>
      </c>
      <c r="AC34" s="838"/>
      <c r="AD34" s="838"/>
      <c r="AE34" s="838"/>
      <c r="AF34" s="838"/>
      <c r="AG34" s="838"/>
      <c r="AH34" s="838"/>
      <c r="AI34" s="790" t="s">
        <v>564</v>
      </c>
      <c r="AJ34" s="59471"/>
      <c r="AK34" s="59471"/>
      <c r="AL34" s="59471"/>
      <c r="AM34" s="59471"/>
      <c r="AN34" s="59471"/>
      <c r="AO34" s="59471"/>
      <c r="AP34" s="59692" t="s">
        <v>564</v>
      </c>
      <c r="AQ34" s="59471"/>
      <c r="AR34" s="59471"/>
      <c r="AS34" s="59471"/>
      <c r="AT34" s="59471"/>
      <c r="AU34" s="59471"/>
      <c r="AV34" s="59471"/>
      <c r="AW34" s="59692" t="s">
        <v>564</v>
      </c>
      <c r="AX34" s="59471"/>
      <c r="AY34" s="59471"/>
      <c r="AZ34" s="59471"/>
      <c r="BA34" s="59471"/>
      <c r="BB34" s="59471"/>
      <c r="BC34" s="59471"/>
      <c r="BD34" s="59692" t="s">
        <v>564</v>
      </c>
      <c r="BE34" s="59471"/>
      <c r="BF34" s="59471"/>
      <c r="BG34" s="59471"/>
      <c r="BH34" s="59471"/>
      <c r="BI34" s="59471"/>
      <c r="BJ34" s="59471"/>
      <c r="BK34" s="59692" t="s">
        <v>564</v>
      </c>
      <c r="BL34" s="59471"/>
      <c r="BM34" s="59471"/>
      <c r="BN34" s="59471"/>
      <c r="BO34" s="59471"/>
      <c r="BP34" s="59471"/>
      <c r="BQ34" s="59471"/>
      <c r="BR34" s="59692" t="s">
        <v>564</v>
      </c>
      <c r="BS34" s="59471"/>
      <c r="BT34" s="59471"/>
      <c r="BU34" s="59471"/>
      <c r="BV34" s="59471"/>
      <c r="BW34" s="59471"/>
      <c r="BX34" s="59471"/>
      <c r="BY34" s="59692" t="s">
        <v>564</v>
      </c>
      <c r="BZ34" s="59471"/>
      <c r="CA34" s="59471"/>
      <c r="CB34" s="59471"/>
      <c r="CC34" s="59471"/>
      <c r="CD34" s="59471"/>
      <c r="CE34" s="59471"/>
      <c r="CF34" s="59692" t="s">
        <v>564</v>
      </c>
      <c r="CG34" s="59471"/>
      <c r="CH34" s="59471"/>
      <c r="CI34" s="59471"/>
      <c r="CJ34" s="59471"/>
      <c r="CK34" s="59471"/>
      <c r="CL34" s="59471"/>
      <c r="CM34" s="59692" t="s">
        <v>564</v>
      </c>
      <c r="CN34" s="59471"/>
      <c r="CO34" s="59471"/>
      <c r="CP34" s="59471"/>
      <c r="CQ34" s="59471"/>
      <c r="CR34" s="59471"/>
      <c r="CS34" s="59471"/>
      <c r="CT34" s="59692" t="s">
        <v>564</v>
      </c>
      <c r="CW34" s="880"/>
      <c r="CX34" s="880"/>
      <c r="CY34" s="880"/>
      <c r="CZ34" s="880"/>
      <c r="DA34" s="880"/>
      <c r="DB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59693" t="s">
        <v>106</v>
      </c>
      <c r="AK35" s="59693"/>
      <c r="AL35" s="59693"/>
      <c r="AM35" s="59693"/>
      <c r="AN35" s="59693"/>
      <c r="AO35" s="59693"/>
      <c r="AP35" s="59693"/>
      <c r="AQ35" s="59693" t="s">
        <v>106</v>
      </c>
      <c r="AR35" s="59693"/>
      <c r="AS35" s="59693"/>
      <c r="AT35" s="59693"/>
      <c r="AU35" s="59693"/>
      <c r="AV35" s="59693"/>
      <c r="AW35" s="59693"/>
      <c r="AX35" s="59693" t="s">
        <v>106</v>
      </c>
      <c r="AY35" s="59693"/>
      <c r="AZ35" s="59693"/>
      <c r="BA35" s="59693"/>
      <c r="BB35" s="59693"/>
      <c r="BC35" s="59693"/>
      <c r="BD35" s="59693"/>
      <c r="BE35" s="59693" t="s">
        <v>106</v>
      </c>
      <c r="BF35" s="59693"/>
      <c r="BG35" s="59693"/>
      <c r="BH35" s="59693"/>
      <c r="BI35" s="59693"/>
      <c r="BJ35" s="59693"/>
      <c r="BK35" s="59693"/>
      <c r="BL35" s="59693" t="s">
        <v>106</v>
      </c>
      <c r="BM35" s="59693"/>
      <c r="BN35" s="59693"/>
      <c r="BO35" s="59693"/>
      <c r="BP35" s="59693"/>
      <c r="BQ35" s="59693"/>
      <c r="BR35" s="59693"/>
      <c r="BS35" s="59693" t="s">
        <v>106</v>
      </c>
      <c r="BT35" s="59693"/>
      <c r="BU35" s="59693"/>
      <c r="BV35" s="59693"/>
      <c r="BW35" s="59693"/>
      <c r="BX35" s="59693"/>
      <c r="BY35" s="59693"/>
      <c r="BZ35" s="59693" t="s">
        <v>106</v>
      </c>
      <c r="CA35" s="59693"/>
      <c r="CB35" s="59693"/>
      <c r="CC35" s="59693"/>
      <c r="CD35" s="59693"/>
      <c r="CE35" s="59693"/>
      <c r="CF35" s="59693"/>
      <c r="CG35" s="59693" t="s">
        <v>106</v>
      </c>
      <c r="CH35" s="59693"/>
      <c r="CI35" s="59693"/>
      <c r="CJ35" s="59693"/>
      <c r="CK35" s="59693"/>
      <c r="CL35" s="59693"/>
      <c r="CM35" s="59693"/>
      <c r="CN35" s="59693" t="s">
        <v>106</v>
      </c>
      <c r="CO35" s="59693"/>
      <c r="CP35" s="59693"/>
      <c r="CQ35" s="59693"/>
      <c r="CR35" s="59693"/>
      <c r="CS35" s="59693"/>
      <c r="CT35" s="59693"/>
      <c r="DB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59694" t="s">
        <v>439</v>
      </c>
      <c r="AK36" s="59694"/>
      <c r="AL36" s="59694"/>
      <c r="AM36" s="59694"/>
      <c r="AN36" s="59694"/>
      <c r="AO36" s="59694"/>
      <c r="AP36" s="59694"/>
      <c r="AQ36" s="59694" t="s">
        <v>439</v>
      </c>
      <c r="AR36" s="59694"/>
      <c r="AS36" s="59694"/>
      <c r="AT36" s="59694"/>
      <c r="AU36" s="59694"/>
      <c r="AV36" s="59694"/>
      <c r="AW36" s="59694"/>
      <c r="AX36" s="59694" t="s">
        <v>439</v>
      </c>
      <c r="AY36" s="59694"/>
      <c r="AZ36" s="59694"/>
      <c r="BA36" s="59694"/>
      <c r="BB36" s="59694"/>
      <c r="BC36" s="59694"/>
      <c r="BD36" s="59694"/>
      <c r="BE36" s="59694" t="s">
        <v>439</v>
      </c>
      <c r="BF36" s="59694"/>
      <c r="BG36" s="59694"/>
      <c r="BH36" s="59694"/>
      <c r="BI36" s="59694"/>
      <c r="BJ36" s="59694"/>
      <c r="BK36" s="59694"/>
      <c r="BL36" s="59694" t="s">
        <v>439</v>
      </c>
      <c r="BM36" s="59694"/>
      <c r="BN36" s="59694"/>
      <c r="BO36" s="59694"/>
      <c r="BP36" s="59694"/>
      <c r="BQ36" s="59694"/>
      <c r="BR36" s="59694"/>
      <c r="BS36" s="59694" t="s">
        <v>439</v>
      </c>
      <c r="BT36" s="59694"/>
      <c r="BU36" s="59694"/>
      <c r="BV36" s="59694"/>
      <c r="BW36" s="59694"/>
      <c r="BX36" s="59694"/>
      <c r="BY36" s="59694"/>
      <c r="BZ36" s="59694" t="s">
        <v>439</v>
      </c>
      <c r="CA36" s="59694"/>
      <c r="CB36" s="59694"/>
      <c r="CC36" s="59694"/>
      <c r="CD36" s="59694"/>
      <c r="CE36" s="59694"/>
      <c r="CF36" s="59694"/>
      <c r="CG36" s="59694" t="s">
        <v>439</v>
      </c>
      <c r="CH36" s="59694"/>
      <c r="CI36" s="59694"/>
      <c r="CJ36" s="59694"/>
      <c r="CK36" s="59694"/>
      <c r="CL36" s="59694"/>
      <c r="CM36" s="59694"/>
      <c r="CN36" s="59694" t="s">
        <v>439</v>
      </c>
      <c r="CO36" s="59694"/>
      <c r="CP36" s="59694"/>
      <c r="CQ36" s="59694"/>
      <c r="CR36" s="59694"/>
      <c r="CS36" s="59694"/>
      <c r="CT36" s="59694"/>
      <c r="CU36" s="2639"/>
      <c r="CV36" s="2639"/>
      <c r="DB36" s="1667"/>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59695" t="s">
        <v>566</v>
      </c>
      <c r="AK37" s="59696"/>
      <c r="AL37" s="59696"/>
      <c r="AM37" s="59696"/>
      <c r="AN37" s="59696"/>
      <c r="AO37" s="59697"/>
      <c r="AP37" s="59698" t="s">
        <v>567</v>
      </c>
      <c r="AQ37" s="59695" t="s">
        <v>566</v>
      </c>
      <c r="AR37" s="59696"/>
      <c r="AS37" s="59696"/>
      <c r="AT37" s="59696"/>
      <c r="AU37" s="59696"/>
      <c r="AV37" s="59697"/>
      <c r="AW37" s="59698" t="s">
        <v>567</v>
      </c>
      <c r="AX37" s="59695" t="s">
        <v>566</v>
      </c>
      <c r="AY37" s="59696"/>
      <c r="AZ37" s="59696"/>
      <c r="BA37" s="59696"/>
      <c r="BB37" s="59696"/>
      <c r="BC37" s="59697"/>
      <c r="BD37" s="59698" t="s">
        <v>567</v>
      </c>
      <c r="BE37" s="59695" t="s">
        <v>566</v>
      </c>
      <c r="BF37" s="59696"/>
      <c r="BG37" s="59696"/>
      <c r="BH37" s="59696"/>
      <c r="BI37" s="59696"/>
      <c r="BJ37" s="59697"/>
      <c r="BK37" s="59698" t="s">
        <v>567</v>
      </c>
      <c r="BL37" s="59695" t="s">
        <v>566</v>
      </c>
      <c r="BM37" s="59696"/>
      <c r="BN37" s="59696"/>
      <c r="BO37" s="59696"/>
      <c r="BP37" s="59696"/>
      <c r="BQ37" s="59697"/>
      <c r="BR37" s="59698" t="s">
        <v>567</v>
      </c>
      <c r="BS37" s="59695" t="s">
        <v>566</v>
      </c>
      <c r="BT37" s="59696"/>
      <c r="BU37" s="59696"/>
      <c r="BV37" s="59696"/>
      <c r="BW37" s="59696"/>
      <c r="BX37" s="59697"/>
      <c r="BY37" s="59698" t="s">
        <v>567</v>
      </c>
      <c r="BZ37" s="59695" t="s">
        <v>566</v>
      </c>
      <c r="CA37" s="59696"/>
      <c r="CB37" s="59696"/>
      <c r="CC37" s="59696"/>
      <c r="CD37" s="59696"/>
      <c r="CE37" s="59697"/>
      <c r="CF37" s="59698" t="s">
        <v>567</v>
      </c>
      <c r="CG37" s="59695" t="s">
        <v>566</v>
      </c>
      <c r="CH37" s="59696"/>
      <c r="CI37" s="59696"/>
      <c r="CJ37" s="59696"/>
      <c r="CK37" s="59696"/>
      <c r="CL37" s="59697"/>
      <c r="CM37" s="59698" t="s">
        <v>567</v>
      </c>
      <c r="CN37" s="59695" t="s">
        <v>566</v>
      </c>
      <c r="CO37" s="59696"/>
      <c r="CP37" s="59696"/>
      <c r="CQ37" s="59696"/>
      <c r="CR37" s="59696"/>
      <c r="CS37" s="59697"/>
      <c r="CT37" s="59698" t="s">
        <v>567</v>
      </c>
      <c r="CU37" s="2792" t="s">
        <v>569</v>
      </c>
      <c r="CV37" s="2639"/>
      <c r="DB37" s="1667">
        <v>14</v>
      </c>
    </row>
    <row customHeight="1" ht="35.699999999999996">
      <c r="Q38" s="888"/>
      <c r="R38" s="888"/>
      <c r="S38" s="2785"/>
      <c r="T38" s="2721"/>
      <c r="U38" s="1543"/>
      <c r="V38" s="1964" t="s">
        <v>625</v>
      </c>
      <c r="W38" s="2774" t="s">
        <v>572</v>
      </c>
      <c r="X38" s="2775"/>
      <c r="Y38" s="2774" t="s">
        <v>573</v>
      </c>
      <c r="Z38" s="2781"/>
      <c r="AA38" s="2775"/>
      <c r="AB38" s="2790"/>
      <c r="AC38" s="1964" t="s">
        <v>625</v>
      </c>
      <c r="AD38" s="2774" t="s">
        <v>572</v>
      </c>
      <c r="AE38" s="2775"/>
      <c r="AF38" s="2774" t="s">
        <v>573</v>
      </c>
      <c r="AG38" s="2781"/>
      <c r="AH38" s="2775"/>
      <c r="AI38" s="2790"/>
      <c r="AJ38" s="59700" t="s">
        <v>625</v>
      </c>
      <c r="AK38" s="59701" t="s">
        <v>572</v>
      </c>
      <c r="AL38" s="59702"/>
      <c r="AM38" s="59701" t="s">
        <v>573</v>
      </c>
      <c r="AN38" s="59703"/>
      <c r="AO38" s="59702"/>
      <c r="AP38" s="59704"/>
      <c r="AQ38" s="59700" t="s">
        <v>625</v>
      </c>
      <c r="AR38" s="59701" t="s">
        <v>572</v>
      </c>
      <c r="AS38" s="59702"/>
      <c r="AT38" s="59701" t="s">
        <v>573</v>
      </c>
      <c r="AU38" s="59703"/>
      <c r="AV38" s="59702"/>
      <c r="AW38" s="59704"/>
      <c r="AX38" s="59700" t="s">
        <v>625</v>
      </c>
      <c r="AY38" s="59701" t="s">
        <v>572</v>
      </c>
      <c r="AZ38" s="59702"/>
      <c r="BA38" s="59701" t="s">
        <v>573</v>
      </c>
      <c r="BB38" s="59703"/>
      <c r="BC38" s="59702"/>
      <c r="BD38" s="59704"/>
      <c r="BE38" s="59700" t="s">
        <v>625</v>
      </c>
      <c r="BF38" s="59701" t="s">
        <v>572</v>
      </c>
      <c r="BG38" s="59702"/>
      <c r="BH38" s="59701" t="s">
        <v>573</v>
      </c>
      <c r="BI38" s="59703"/>
      <c r="BJ38" s="59702"/>
      <c r="BK38" s="59704"/>
      <c r="BL38" s="59700" t="s">
        <v>625</v>
      </c>
      <c r="BM38" s="59701" t="s">
        <v>572</v>
      </c>
      <c r="BN38" s="59702"/>
      <c r="BO38" s="59701" t="s">
        <v>573</v>
      </c>
      <c r="BP38" s="59703"/>
      <c r="BQ38" s="59702"/>
      <c r="BR38" s="59704"/>
      <c r="BS38" s="59700" t="s">
        <v>625</v>
      </c>
      <c r="BT38" s="59701" t="s">
        <v>572</v>
      </c>
      <c r="BU38" s="59702"/>
      <c r="BV38" s="59701" t="s">
        <v>573</v>
      </c>
      <c r="BW38" s="59703"/>
      <c r="BX38" s="59702"/>
      <c r="BY38" s="59704"/>
      <c r="BZ38" s="59700" t="s">
        <v>625</v>
      </c>
      <c r="CA38" s="59701" t="s">
        <v>572</v>
      </c>
      <c r="CB38" s="59702"/>
      <c r="CC38" s="59701" t="s">
        <v>573</v>
      </c>
      <c r="CD38" s="59703"/>
      <c r="CE38" s="59702"/>
      <c r="CF38" s="59704"/>
      <c r="CG38" s="59700" t="s">
        <v>625</v>
      </c>
      <c r="CH38" s="59701" t="s">
        <v>572</v>
      </c>
      <c r="CI38" s="59702"/>
      <c r="CJ38" s="59701" t="s">
        <v>573</v>
      </c>
      <c r="CK38" s="59703"/>
      <c r="CL38" s="59702"/>
      <c r="CM38" s="59704"/>
      <c r="CN38" s="59700" t="s">
        <v>625</v>
      </c>
      <c r="CO38" s="59701" t="s">
        <v>572</v>
      </c>
      <c r="CP38" s="59702"/>
      <c r="CQ38" s="59701" t="s">
        <v>573</v>
      </c>
      <c r="CR38" s="59703"/>
      <c r="CS38" s="59702"/>
      <c r="CT38" s="59704"/>
      <c r="CU38" s="2793"/>
      <c r="CV38" s="2639"/>
      <c r="DB38" s="1667">
        <v>34</v>
      </c>
    </row>
    <row customHeight="1" ht="35.699999999999996">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964" t="s">
        <v>628</v>
      </c>
      <c r="W39" s="1734" t="s">
        <v>629</v>
      </c>
      <c r="X39" s="1734" t="s">
        <v>630</v>
      </c>
      <c r="Y39" s="1967" t="s">
        <v>583</v>
      </c>
      <c r="Z39" s="2782" t="s">
        <v>584</v>
      </c>
      <c r="AA39" s="2783"/>
      <c r="AB39" s="2791"/>
      <c r="AC39" s="1964" t="s">
        <v>628</v>
      </c>
      <c r="AD39" s="1734" t="s">
        <v>629</v>
      </c>
      <c r="AE39" s="1734" t="s">
        <v>630</v>
      </c>
      <c r="AF39" s="1967" t="s">
        <v>583</v>
      </c>
      <c r="AG39" s="2782" t="s">
        <v>584</v>
      </c>
      <c r="AH39" s="2783"/>
      <c r="AI39" s="2791"/>
      <c r="AJ39" s="59700" t="s">
        <v>628</v>
      </c>
      <c r="AK39" s="59706" t="s">
        <v>629</v>
      </c>
      <c r="AL39" s="59706" t="s">
        <v>630</v>
      </c>
      <c r="AM39" s="59706" t="s">
        <v>583</v>
      </c>
      <c r="AN39" s="59707" t="s">
        <v>584</v>
      </c>
      <c r="AO39" s="59708"/>
      <c r="AP39" s="59709"/>
      <c r="AQ39" s="59700" t="s">
        <v>628</v>
      </c>
      <c r="AR39" s="59706" t="s">
        <v>629</v>
      </c>
      <c r="AS39" s="59706" t="s">
        <v>630</v>
      </c>
      <c r="AT39" s="59706" t="s">
        <v>583</v>
      </c>
      <c r="AU39" s="59707" t="s">
        <v>584</v>
      </c>
      <c r="AV39" s="59708"/>
      <c r="AW39" s="59709"/>
      <c r="AX39" s="59700" t="s">
        <v>628</v>
      </c>
      <c r="AY39" s="59706" t="s">
        <v>629</v>
      </c>
      <c r="AZ39" s="59706" t="s">
        <v>630</v>
      </c>
      <c r="BA39" s="59706" t="s">
        <v>583</v>
      </c>
      <c r="BB39" s="59707" t="s">
        <v>584</v>
      </c>
      <c r="BC39" s="59708"/>
      <c r="BD39" s="59709"/>
      <c r="BE39" s="59700" t="s">
        <v>628</v>
      </c>
      <c r="BF39" s="59706" t="s">
        <v>629</v>
      </c>
      <c r="BG39" s="59706" t="s">
        <v>630</v>
      </c>
      <c r="BH39" s="59706" t="s">
        <v>583</v>
      </c>
      <c r="BI39" s="59707" t="s">
        <v>584</v>
      </c>
      <c r="BJ39" s="59708"/>
      <c r="BK39" s="59709"/>
      <c r="BL39" s="59700" t="s">
        <v>628</v>
      </c>
      <c r="BM39" s="59706" t="s">
        <v>629</v>
      </c>
      <c r="BN39" s="59706" t="s">
        <v>630</v>
      </c>
      <c r="BO39" s="59706" t="s">
        <v>583</v>
      </c>
      <c r="BP39" s="59707" t="s">
        <v>584</v>
      </c>
      <c r="BQ39" s="59708"/>
      <c r="BR39" s="59709"/>
      <c r="BS39" s="59700" t="s">
        <v>628</v>
      </c>
      <c r="BT39" s="59706" t="s">
        <v>629</v>
      </c>
      <c r="BU39" s="59706" t="s">
        <v>630</v>
      </c>
      <c r="BV39" s="59706" t="s">
        <v>583</v>
      </c>
      <c r="BW39" s="59707" t="s">
        <v>584</v>
      </c>
      <c r="BX39" s="59708"/>
      <c r="BY39" s="59709"/>
      <c r="BZ39" s="59700" t="s">
        <v>628</v>
      </c>
      <c r="CA39" s="59706" t="s">
        <v>629</v>
      </c>
      <c r="CB39" s="59706" t="s">
        <v>630</v>
      </c>
      <c r="CC39" s="59706" t="s">
        <v>583</v>
      </c>
      <c r="CD39" s="59707" t="s">
        <v>584</v>
      </c>
      <c r="CE39" s="59708"/>
      <c r="CF39" s="59709"/>
      <c r="CG39" s="59700" t="s">
        <v>628</v>
      </c>
      <c r="CH39" s="59706" t="s">
        <v>629</v>
      </c>
      <c r="CI39" s="59706" t="s">
        <v>630</v>
      </c>
      <c r="CJ39" s="59706" t="s">
        <v>583</v>
      </c>
      <c r="CK39" s="59707" t="s">
        <v>584</v>
      </c>
      <c r="CL39" s="59708"/>
      <c r="CM39" s="59709"/>
      <c r="CN39" s="59700" t="s">
        <v>628</v>
      </c>
      <c r="CO39" s="59706" t="s">
        <v>629</v>
      </c>
      <c r="CP39" s="59706" t="s">
        <v>630</v>
      </c>
      <c r="CQ39" s="59706" t="s">
        <v>583</v>
      </c>
      <c r="CR39" s="59707" t="s">
        <v>584</v>
      </c>
      <c r="CS39" s="59708"/>
      <c r="CT39" s="59709"/>
      <c r="CU39" s="2794"/>
      <c r="CV39" s="2639"/>
      <c r="DB39" s="1667">
        <v>34</v>
      </c>
    </row>
    <row s="51564"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59711">
        <f>OFFSET(AJ40,0,-1)+1</f>
        <v>15</v>
      </c>
      <c r="AK40" s="59711">
        <f>OFFSET(AK40,0,-1)+1</f>
        <v>16</v>
      </c>
      <c r="AL40" s="59711">
        <f>OFFSET(AL40,0,-1)+1</f>
        <v>17</v>
      </c>
      <c r="AM40" s="59711">
        <f>OFFSET(AM40,0,-1)+1</f>
        <v>18</v>
      </c>
      <c r="AN40" s="59711">
        <f>OFFSET(AN40,0,-1)+1</f>
        <v>19</v>
      </c>
      <c r="AO40" s="59711"/>
      <c r="AP40" s="59711">
        <f>OFFSET(AP40,0,-2)+1</f>
        <v>20</v>
      </c>
      <c r="AQ40" s="59711">
        <f>OFFSET(AQ40,0,-1)+1</f>
        <v>21</v>
      </c>
      <c r="AR40" s="59711">
        <f>OFFSET(AR40,0,-1)+1</f>
        <v>22</v>
      </c>
      <c r="AS40" s="59711">
        <f>OFFSET(AS40,0,-1)+1</f>
        <v>23</v>
      </c>
      <c r="AT40" s="59711">
        <f>OFFSET(AT40,0,-1)+1</f>
        <v>24</v>
      </c>
      <c r="AU40" s="59711">
        <f>OFFSET(AU40,0,-1)+1</f>
        <v>25</v>
      </c>
      <c r="AV40" s="59711"/>
      <c r="AW40" s="59711">
        <f>OFFSET(AW40,0,-2)+1</f>
        <v>26</v>
      </c>
      <c r="AX40" s="59711">
        <f>OFFSET(AX40,0,-1)+1</f>
        <v>27</v>
      </c>
      <c r="AY40" s="59711">
        <f>OFFSET(AY40,0,-1)+1</f>
        <v>28</v>
      </c>
      <c r="AZ40" s="59711">
        <f>OFFSET(AZ40,0,-1)+1</f>
        <v>29</v>
      </c>
      <c r="BA40" s="59711">
        <f>OFFSET(BA40,0,-1)+1</f>
        <v>30</v>
      </c>
      <c r="BB40" s="59711">
        <f>OFFSET(BB40,0,-1)+1</f>
        <v>31</v>
      </c>
      <c r="BC40" s="59711"/>
      <c r="BD40" s="59711">
        <f>OFFSET(BD40,0,-2)+1</f>
        <v>32</v>
      </c>
      <c r="BE40" s="59711">
        <f>OFFSET(BE40,0,-1)+1</f>
        <v>33</v>
      </c>
      <c r="BF40" s="59711">
        <f>OFFSET(BF40,0,-1)+1</f>
        <v>34</v>
      </c>
      <c r="BG40" s="59711">
        <f>OFFSET(BG40,0,-1)+1</f>
        <v>35</v>
      </c>
      <c r="BH40" s="59711">
        <f>OFFSET(BH40,0,-1)+1</f>
        <v>36</v>
      </c>
      <c r="BI40" s="59711">
        <f>OFFSET(BI40,0,-1)+1</f>
        <v>37</v>
      </c>
      <c r="BJ40" s="59711"/>
      <c r="BK40" s="59711">
        <f>OFFSET(BK40,0,-2)+1</f>
        <v>38</v>
      </c>
      <c r="BL40" s="59711">
        <f>OFFSET(BL40,0,-1)+1</f>
        <v>39</v>
      </c>
      <c r="BM40" s="59711">
        <f>OFFSET(BM40,0,-1)+1</f>
        <v>40</v>
      </c>
      <c r="BN40" s="59711">
        <f>OFFSET(BN40,0,-1)+1</f>
        <v>41</v>
      </c>
      <c r="BO40" s="59711">
        <f>OFFSET(BO40,0,-1)+1</f>
        <v>42</v>
      </c>
      <c r="BP40" s="59711">
        <f>OFFSET(BP40,0,-1)+1</f>
        <v>43</v>
      </c>
      <c r="BQ40" s="59711"/>
      <c r="BR40" s="59711">
        <f>OFFSET(BR40,0,-2)+1</f>
        <v>44</v>
      </c>
      <c r="BS40" s="59711">
        <f>OFFSET(BS40,0,-1)+1</f>
        <v>45</v>
      </c>
      <c r="BT40" s="59711">
        <f>OFFSET(BT40,0,-1)+1</f>
        <v>46</v>
      </c>
      <c r="BU40" s="59711">
        <f>OFFSET(BU40,0,-1)+1</f>
        <v>47</v>
      </c>
      <c r="BV40" s="59711">
        <f>OFFSET(BV40,0,-1)+1</f>
        <v>48</v>
      </c>
      <c r="BW40" s="59711">
        <f>OFFSET(BW40,0,-1)+1</f>
        <v>49</v>
      </c>
      <c r="BX40" s="59711"/>
      <c r="BY40" s="59711">
        <f>OFFSET(BY40,0,-2)+1</f>
        <v>50</v>
      </c>
      <c r="BZ40" s="59711">
        <f>OFFSET(BZ40,0,-1)+1</f>
        <v>51</v>
      </c>
      <c r="CA40" s="59711">
        <f>OFFSET(CA40,0,-1)+1</f>
        <v>52</v>
      </c>
      <c r="CB40" s="59711">
        <f>OFFSET(CB40,0,-1)+1</f>
        <v>53</v>
      </c>
      <c r="CC40" s="59711">
        <f>OFFSET(CC40,0,-1)+1</f>
        <v>54</v>
      </c>
      <c r="CD40" s="59711">
        <f>OFFSET(CD40,0,-1)+1</f>
        <v>55</v>
      </c>
      <c r="CE40" s="59711"/>
      <c r="CF40" s="59711">
        <f>OFFSET(CF40,0,-2)+1</f>
        <v>56</v>
      </c>
      <c r="CG40" s="59711">
        <f>OFFSET(CG40,0,-1)+1</f>
        <v>57</v>
      </c>
      <c r="CH40" s="59711">
        <f>OFFSET(CH40,0,-1)+1</f>
        <v>58</v>
      </c>
      <c r="CI40" s="59711">
        <f>OFFSET(CI40,0,-1)+1</f>
        <v>59</v>
      </c>
      <c r="CJ40" s="59711">
        <f>OFFSET(CJ40,0,-1)+1</f>
        <v>60</v>
      </c>
      <c r="CK40" s="59711">
        <f>OFFSET(CK40,0,-1)+1</f>
        <v>61</v>
      </c>
      <c r="CL40" s="59711"/>
      <c r="CM40" s="59711">
        <f>OFFSET(CM40,0,-2)+1</f>
        <v>62</v>
      </c>
      <c r="CN40" s="59711">
        <f>OFFSET(CN40,0,-1)+1</f>
        <v>63</v>
      </c>
      <c r="CO40" s="59711">
        <f>OFFSET(CO40,0,-1)+1</f>
        <v>64</v>
      </c>
      <c r="CP40" s="59711">
        <f>OFFSET(CP40,0,-1)+1</f>
        <v>65</v>
      </c>
      <c r="CQ40" s="59711">
        <f>OFFSET(CQ40,0,-1)+1</f>
        <v>66</v>
      </c>
      <c r="CR40" s="59711">
        <f>OFFSET(CR40,0,-1)+1</f>
        <v>67</v>
      </c>
      <c r="CS40" s="59711"/>
      <c r="CT40" s="59711">
        <f>OFFSET(CT40,0,-2)+1</f>
        <v>68</v>
      </c>
      <c r="CU40" s="1757">
        <f>OFFSET(CU40,0,-1)</f>
        <v>68</v>
      </c>
      <c r="CV40" s="1963">
        <f>OFFSET(CV40,0,-1)+1</f>
        <v>69</v>
      </c>
      <c r="CW40" s="1023"/>
      <c r="CX40" s="1023"/>
      <c r="CY40" s="1023"/>
      <c r="CZ40" s="1023"/>
      <c r="DA40" s="1023"/>
      <c r="DB40" s="1008">
        <v>0</v>
      </c>
    </row>
    <row customHeight="1" ht="24">
      <c r="A41" s="1875" t="s">
        <v>370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1</v>
      </c>
      <c r="T41" s="810" t="s">
        <v>189</v>
      </c>
      <c r="U41" s="812"/>
      <c r="V41" s="2754"/>
      <c r="W41" s="2755"/>
      <c r="X41" s="2755"/>
      <c r="Y41" s="2755"/>
      <c r="Z41" s="2755"/>
      <c r="AA41" s="2755"/>
      <c r="AB41" s="2756"/>
      <c r="AC41" s="2754" t="str">
        <f>INDEX(PT_DIFFERENTIATION_NTAR,MATCH(A41,PT_DIFFERENTIATION_NTAR_ID,0))</f>
        <v>Тариф на техническую воду</v>
      </c>
      <c r="AD41" s="2755"/>
      <c r="AE41" s="2755"/>
      <c r="AF41" s="2755"/>
      <c r="AG41" s="2755"/>
      <c r="AH41" s="2755"/>
      <c r="AI41" s="2755"/>
      <c r="AJ41" s="59473"/>
      <c r="AK41" s="59474"/>
      <c r="AL41" s="59474"/>
      <c r="AM41" s="59474"/>
      <c r="AN41" s="59474"/>
      <c r="AO41" s="59474"/>
      <c r="AP41" s="59475"/>
      <c r="AQ41" s="59473"/>
      <c r="AR41" s="59474"/>
      <c r="AS41" s="59474"/>
      <c r="AT41" s="59474"/>
      <c r="AU41" s="59474"/>
      <c r="AV41" s="59474"/>
      <c r="AW41" s="59475"/>
      <c r="AX41" s="59473"/>
      <c r="AY41" s="59474"/>
      <c r="AZ41" s="59474"/>
      <c r="BA41" s="59474"/>
      <c r="BB41" s="59474"/>
      <c r="BC41" s="59474"/>
      <c r="BD41" s="59475"/>
      <c r="BE41" s="59473"/>
      <c r="BF41" s="59474"/>
      <c r="BG41" s="59474"/>
      <c r="BH41" s="59474"/>
      <c r="BI41" s="59474"/>
      <c r="BJ41" s="59474"/>
      <c r="BK41" s="59475"/>
      <c r="BL41" s="59473"/>
      <c r="BM41" s="59474"/>
      <c r="BN41" s="59474"/>
      <c r="BO41" s="59474"/>
      <c r="BP41" s="59474"/>
      <c r="BQ41" s="59474"/>
      <c r="BR41" s="59475"/>
      <c r="BS41" s="59473"/>
      <c r="BT41" s="59474"/>
      <c r="BU41" s="59474"/>
      <c r="BV41" s="59474"/>
      <c r="BW41" s="59474"/>
      <c r="BX41" s="59474"/>
      <c r="BY41" s="59475"/>
      <c r="BZ41" s="59473"/>
      <c r="CA41" s="59474"/>
      <c r="CB41" s="59474"/>
      <c r="CC41" s="59474"/>
      <c r="CD41" s="59474"/>
      <c r="CE41" s="59474"/>
      <c r="CF41" s="59475"/>
      <c r="CG41" s="59473"/>
      <c r="CH41" s="59474"/>
      <c r="CI41" s="59474"/>
      <c r="CJ41" s="59474"/>
      <c r="CK41" s="59474"/>
      <c r="CL41" s="59474"/>
      <c r="CM41" s="59475"/>
      <c r="CN41" s="59473"/>
      <c r="CO41" s="59474"/>
      <c r="CP41" s="59474"/>
      <c r="CQ41" s="59474"/>
      <c r="CR41" s="59474"/>
      <c r="CS41" s="59474"/>
      <c r="CT41" s="59475"/>
      <c r="CU41" s="2756"/>
      <c r="CV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1012"/>
      <c r="CY41" s="1012" t="str">
        <f>IF(T41="","",T41)</f>
        <v>Наименование тарифа</v>
      </c>
      <c r="CZ41" s="1012"/>
      <c r="DA41" s="1012"/>
      <c r="DB41" s="1667">
        <v>23</v>
      </c>
    </row>
    <row customHeight="1" ht="24">
      <c r="A42" s="1875" t="s">
        <v>370</v>
      </c>
      <c r="B42" s="1875" t="s">
        <v>371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1.1</v>
      </c>
      <c r="T42" s="820" t="s">
        <v>536</v>
      </c>
      <c r="U42" s="812"/>
      <c r="V42" s="2754"/>
      <c r="W42" s="2755"/>
      <c r="X42" s="2755"/>
      <c r="Y42" s="2755"/>
      <c r="Z42" s="2755"/>
      <c r="AA42" s="2755"/>
      <c r="AB42" s="2756"/>
      <c r="AC42" s="2754" t="str">
        <f>INDEX(PT_DIFFERENTIATION_TER,MATCH(B42,PT_DIFFERENTIATION_TER_ID,0))</f>
        <v>Территория 14</v>
      </c>
      <c r="AD42" s="2755"/>
      <c r="AE42" s="2755"/>
      <c r="AF42" s="2755"/>
      <c r="AG42" s="2755"/>
      <c r="AH42" s="2755"/>
      <c r="AI42" s="2755"/>
      <c r="AJ42" s="59473"/>
      <c r="AK42" s="59474"/>
      <c r="AL42" s="59474"/>
      <c r="AM42" s="59474"/>
      <c r="AN42" s="59474"/>
      <c r="AO42" s="59474"/>
      <c r="AP42" s="59475"/>
      <c r="AQ42" s="59473"/>
      <c r="AR42" s="59474"/>
      <c r="AS42" s="59474"/>
      <c r="AT42" s="59474"/>
      <c r="AU42" s="59474"/>
      <c r="AV42" s="59474"/>
      <c r="AW42" s="59475"/>
      <c r="AX42" s="59473"/>
      <c r="AY42" s="59474"/>
      <c r="AZ42" s="59474"/>
      <c r="BA42" s="59474"/>
      <c r="BB42" s="59474"/>
      <c r="BC42" s="59474"/>
      <c r="BD42" s="59475"/>
      <c r="BE42" s="59473"/>
      <c r="BF42" s="59474"/>
      <c r="BG42" s="59474"/>
      <c r="BH42" s="59474"/>
      <c r="BI42" s="59474"/>
      <c r="BJ42" s="59474"/>
      <c r="BK42" s="59475"/>
      <c r="BL42" s="59473"/>
      <c r="BM42" s="59474"/>
      <c r="BN42" s="59474"/>
      <c r="BO42" s="59474"/>
      <c r="BP42" s="59474"/>
      <c r="BQ42" s="59474"/>
      <c r="BR42" s="59475"/>
      <c r="BS42" s="59473"/>
      <c r="BT42" s="59474"/>
      <c r="BU42" s="59474"/>
      <c r="BV42" s="59474"/>
      <c r="BW42" s="59474"/>
      <c r="BX42" s="59474"/>
      <c r="BY42" s="59475"/>
      <c r="BZ42" s="59473"/>
      <c r="CA42" s="59474"/>
      <c r="CB42" s="59474"/>
      <c r="CC42" s="59474"/>
      <c r="CD42" s="59474"/>
      <c r="CE42" s="59474"/>
      <c r="CF42" s="59475"/>
      <c r="CG42" s="59473"/>
      <c r="CH42" s="59474"/>
      <c r="CI42" s="59474"/>
      <c r="CJ42" s="59474"/>
      <c r="CK42" s="59474"/>
      <c r="CL42" s="59474"/>
      <c r="CM42" s="59475"/>
      <c r="CN42" s="59473"/>
      <c r="CO42" s="59474"/>
      <c r="CP42" s="59474"/>
      <c r="CQ42" s="59474"/>
      <c r="CR42" s="59474"/>
      <c r="CS42" s="59474"/>
      <c r="CT42" s="59475"/>
      <c r="CU42" s="2756"/>
      <c r="CV42" s="1770" t="s">
        <v>537</v>
      </c>
      <c r="CX42" s="1012"/>
      <c r="CY42" s="1012" t="str">
        <f>IF(T42="","",T42)</f>
        <v>Территория действия тарифа</v>
      </c>
      <c r="CZ42" s="1012"/>
      <c r="DA42" s="1012"/>
      <c r="DB42" s="1667">
        <v>23</v>
      </c>
    </row>
    <row customHeight="1" ht="24">
      <c r="A43" s="1875" t="s">
        <v>370</v>
      </c>
      <c r="B43" s="1875" t="s">
        <v>371</v>
      </c>
      <c r="C43" s="1875" t="s">
        <v>372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1.1.1</v>
      </c>
      <c r="T43" s="821" t="s">
        <v>617</v>
      </c>
      <c r="U43" s="812"/>
      <c r="V43" s="2754"/>
      <c r="W43" s="2755"/>
      <c r="X43" s="2755"/>
      <c r="Y43" s="2755"/>
      <c r="Z43" s="2755"/>
      <c r="AA43" s="2755"/>
      <c r="AB43" s="2756"/>
      <c r="AC43" s="2754" t="str">
        <f>INDEX(PT_DIFFERENTIATION_CS,MATCH(C43,PT_DIFFERENTIATION_CS_ID,0))</f>
        <v>МКР №1, №2, №3, №3-А, им. 50-летия Спасска, им. Блюхера, "Партизанский", "Заречная часть", п. Шиферный</v>
      </c>
      <c r="AD43" s="2755"/>
      <c r="AE43" s="2755"/>
      <c r="AF43" s="2755"/>
      <c r="AG43" s="2755"/>
      <c r="AH43" s="2755"/>
      <c r="AI43" s="2755"/>
      <c r="AJ43" s="59473"/>
      <c r="AK43" s="59474"/>
      <c r="AL43" s="59474"/>
      <c r="AM43" s="59474"/>
      <c r="AN43" s="59474"/>
      <c r="AO43" s="59474"/>
      <c r="AP43" s="59475"/>
      <c r="AQ43" s="59473"/>
      <c r="AR43" s="59474"/>
      <c r="AS43" s="59474"/>
      <c r="AT43" s="59474"/>
      <c r="AU43" s="59474"/>
      <c r="AV43" s="59474"/>
      <c r="AW43" s="59475"/>
      <c r="AX43" s="59473"/>
      <c r="AY43" s="59474"/>
      <c r="AZ43" s="59474"/>
      <c r="BA43" s="59474"/>
      <c r="BB43" s="59474"/>
      <c r="BC43" s="59474"/>
      <c r="BD43" s="59475"/>
      <c r="BE43" s="59473"/>
      <c r="BF43" s="59474"/>
      <c r="BG43" s="59474"/>
      <c r="BH43" s="59474"/>
      <c r="BI43" s="59474"/>
      <c r="BJ43" s="59474"/>
      <c r="BK43" s="59475"/>
      <c r="BL43" s="59473"/>
      <c r="BM43" s="59474"/>
      <c r="BN43" s="59474"/>
      <c r="BO43" s="59474"/>
      <c r="BP43" s="59474"/>
      <c r="BQ43" s="59474"/>
      <c r="BR43" s="59475"/>
      <c r="BS43" s="59473"/>
      <c r="BT43" s="59474"/>
      <c r="BU43" s="59474"/>
      <c r="BV43" s="59474"/>
      <c r="BW43" s="59474"/>
      <c r="BX43" s="59474"/>
      <c r="BY43" s="59475"/>
      <c r="BZ43" s="59473"/>
      <c r="CA43" s="59474"/>
      <c r="CB43" s="59474"/>
      <c r="CC43" s="59474"/>
      <c r="CD43" s="59474"/>
      <c r="CE43" s="59474"/>
      <c r="CF43" s="59475"/>
      <c r="CG43" s="59473"/>
      <c r="CH43" s="59474"/>
      <c r="CI43" s="59474"/>
      <c r="CJ43" s="59474"/>
      <c r="CK43" s="59474"/>
      <c r="CL43" s="59474"/>
      <c r="CM43" s="59475"/>
      <c r="CN43" s="59473"/>
      <c r="CO43" s="59474"/>
      <c r="CP43" s="59474"/>
      <c r="CQ43" s="59474"/>
      <c r="CR43" s="59474"/>
      <c r="CS43" s="59474"/>
      <c r="CT43" s="59475"/>
      <c r="CU43" s="2756"/>
      <c r="CV43" s="1770" t="s">
        <v>618</v>
      </c>
      <c r="CX43" s="1012"/>
      <c r="CY43" s="1012" t="str">
        <f>IF(T43="","",T43)</f>
        <v>Наименование централизованной системы холодного водоснабжения</v>
      </c>
      <c r="CZ43" s="1012"/>
      <c r="DA43" s="1012"/>
      <c r="DB43" s="1667">
        <v>23</v>
      </c>
    </row>
    <row customHeight="1" ht="24">
      <c r="A44" s="1875" t="s">
        <v>370</v>
      </c>
      <c r="B44" s="1875" t="s">
        <v>371</v>
      </c>
      <c r="C44" s="1875" t="s">
        <v>372</v>
      </c>
      <c r="D44" s="1875" t="s">
        <v>634</v>
      </c>
      <c r="E44" s="2771"/>
      <c r="F44" s="2771"/>
      <c r="G44" s="2771"/>
      <c r="H44" s="2771"/>
      <c r="I44" s="2768" t="str">
        <f>S43&amp;".1"</f>
        <v>1.1.1.1</v>
      </c>
      <c r="J44" s="1875"/>
      <c r="K44" s="1875"/>
      <c r="L44" s="1876"/>
      <c r="P44" s="2769">
        <v>1</v>
      </c>
      <c r="Q44" s="1962"/>
      <c r="R44" s="868"/>
      <c r="S44" s="1969" t="str">
        <f>$I44</f>
        <v>1.1.1.1</v>
      </c>
      <c r="T44" s="797" t="s">
        <v>619</v>
      </c>
      <c r="U44" s="812"/>
      <c r="V44" s="2862"/>
      <c r="W44" s="2863"/>
      <c r="X44" s="2863"/>
      <c r="Y44" s="2863"/>
      <c r="Z44" s="2863"/>
      <c r="AA44" s="2863"/>
      <c r="AB44" s="2864"/>
      <c r="AC44" s="2865"/>
      <c r="AD44" s="2866"/>
      <c r="AE44" s="2866"/>
      <c r="AF44" s="2866"/>
      <c r="AG44" s="2866"/>
      <c r="AH44" s="2866"/>
      <c r="AI44" s="2866"/>
      <c r="AJ44" s="59478"/>
      <c r="AK44" s="59479"/>
      <c r="AL44" s="59479"/>
      <c r="AM44" s="59479"/>
      <c r="AN44" s="59479"/>
      <c r="AO44" s="59479"/>
      <c r="AP44" s="59480"/>
      <c r="AQ44" s="59478"/>
      <c r="AR44" s="59479"/>
      <c r="AS44" s="59479"/>
      <c r="AT44" s="59479"/>
      <c r="AU44" s="59479"/>
      <c r="AV44" s="59479"/>
      <c r="AW44" s="59480"/>
      <c r="AX44" s="59478"/>
      <c r="AY44" s="59479"/>
      <c r="AZ44" s="59479"/>
      <c r="BA44" s="59479"/>
      <c r="BB44" s="59479"/>
      <c r="BC44" s="59479"/>
      <c r="BD44" s="59480"/>
      <c r="BE44" s="59478"/>
      <c r="BF44" s="59479"/>
      <c r="BG44" s="59479"/>
      <c r="BH44" s="59479"/>
      <c r="BI44" s="59479"/>
      <c r="BJ44" s="59479"/>
      <c r="BK44" s="59480"/>
      <c r="BL44" s="59478"/>
      <c r="BM44" s="59479"/>
      <c r="BN44" s="59479"/>
      <c r="BO44" s="59479"/>
      <c r="BP44" s="59479"/>
      <c r="BQ44" s="59479"/>
      <c r="BR44" s="59480"/>
      <c r="BS44" s="59478"/>
      <c r="BT44" s="59479"/>
      <c r="BU44" s="59479"/>
      <c r="BV44" s="59479"/>
      <c r="BW44" s="59479"/>
      <c r="BX44" s="59479"/>
      <c r="BY44" s="59480"/>
      <c r="BZ44" s="59478"/>
      <c r="CA44" s="59479"/>
      <c r="CB44" s="59479"/>
      <c r="CC44" s="59479"/>
      <c r="CD44" s="59479"/>
      <c r="CE44" s="59479"/>
      <c r="CF44" s="59480"/>
      <c r="CG44" s="59478"/>
      <c r="CH44" s="59479"/>
      <c r="CI44" s="59479"/>
      <c r="CJ44" s="59479"/>
      <c r="CK44" s="59479"/>
      <c r="CL44" s="59479"/>
      <c r="CM44" s="59480"/>
      <c r="CN44" s="59478"/>
      <c r="CO44" s="59479"/>
      <c r="CP44" s="59479"/>
      <c r="CQ44" s="59479"/>
      <c r="CR44" s="59479"/>
      <c r="CS44" s="59479"/>
      <c r="CT44" s="59480"/>
      <c r="CU44" s="2867"/>
      <c r="CV44" s="1770" t="s">
        <v>620</v>
      </c>
      <c r="CX44" s="1012"/>
      <c r="CY44" s="1012" t="str">
        <f>IF(T44="","",T44)</f>
        <v>Наименование признака дифференциации</v>
      </c>
      <c r="CZ44" s="1012"/>
      <c r="DA44" s="1012"/>
      <c r="DB44" s="1667">
        <v>23</v>
      </c>
    </row>
    <row customHeight="1" ht="24">
      <c r="A45" s="1875" t="s">
        <v>370</v>
      </c>
      <c r="B45" s="1875" t="s">
        <v>371</v>
      </c>
      <c r="C45" s="1875" t="s">
        <v>372</v>
      </c>
      <c r="D45" s="1875" t="s">
        <v>634</v>
      </c>
      <c r="E45" s="2771"/>
      <c r="F45" s="2771"/>
      <c r="G45" s="2771"/>
      <c r="H45" s="2771"/>
      <c r="I45" s="2798"/>
      <c r="J45" s="2768" t="str">
        <f>I44&amp;".1"</f>
        <v>1.1.1.1.1</v>
      </c>
      <c r="K45" s="1875"/>
      <c r="L45" s="1876" t="s">
        <v>545</v>
      </c>
      <c r="P45" s="2769"/>
      <c r="Q45" s="2769">
        <v>1</v>
      </c>
      <c r="R45" s="869"/>
      <c r="S45" s="1969" t="str">
        <f>$J45</f>
        <v>1.1.1.1.1</v>
      </c>
      <c r="T45" s="798" t="s">
        <v>546</v>
      </c>
      <c r="U45" s="812"/>
      <c r="V45" s="2757"/>
      <c r="W45" s="2758"/>
      <c r="X45" s="2758"/>
      <c r="Y45" s="2758"/>
      <c r="Z45" s="2758"/>
      <c r="AA45" s="2758"/>
      <c r="AB45" s="2759"/>
      <c r="AC45" s="2757" t="s">
        <v>632</v>
      </c>
      <c r="AD45" s="2758"/>
      <c r="AE45" s="2758"/>
      <c r="AF45" s="2758"/>
      <c r="AG45" s="2758"/>
      <c r="AH45" s="2758"/>
      <c r="AI45" s="2758"/>
      <c r="AJ45" s="59481"/>
      <c r="AK45" s="59482"/>
      <c r="AL45" s="59482"/>
      <c r="AM45" s="59482"/>
      <c r="AN45" s="59482"/>
      <c r="AO45" s="59482"/>
      <c r="AP45" s="59483"/>
      <c r="AQ45" s="59481"/>
      <c r="AR45" s="59482"/>
      <c r="AS45" s="59482"/>
      <c r="AT45" s="59482"/>
      <c r="AU45" s="59482"/>
      <c r="AV45" s="59482"/>
      <c r="AW45" s="59483"/>
      <c r="AX45" s="59481"/>
      <c r="AY45" s="59482"/>
      <c r="AZ45" s="59482"/>
      <c r="BA45" s="59482"/>
      <c r="BB45" s="59482"/>
      <c r="BC45" s="59482"/>
      <c r="BD45" s="59483"/>
      <c r="BE45" s="59481"/>
      <c r="BF45" s="59482"/>
      <c r="BG45" s="59482"/>
      <c r="BH45" s="59482"/>
      <c r="BI45" s="59482"/>
      <c r="BJ45" s="59482"/>
      <c r="BK45" s="59483"/>
      <c r="BL45" s="59481"/>
      <c r="BM45" s="59482"/>
      <c r="BN45" s="59482"/>
      <c r="BO45" s="59482"/>
      <c r="BP45" s="59482"/>
      <c r="BQ45" s="59482"/>
      <c r="BR45" s="59483"/>
      <c r="BS45" s="59481"/>
      <c r="BT45" s="59482"/>
      <c r="BU45" s="59482"/>
      <c r="BV45" s="59482"/>
      <c r="BW45" s="59482"/>
      <c r="BX45" s="59482"/>
      <c r="BY45" s="59483"/>
      <c r="BZ45" s="59481"/>
      <c r="CA45" s="59482"/>
      <c r="CB45" s="59482"/>
      <c r="CC45" s="59482"/>
      <c r="CD45" s="59482"/>
      <c r="CE45" s="59482"/>
      <c r="CF45" s="59483"/>
      <c r="CG45" s="59481"/>
      <c r="CH45" s="59482"/>
      <c r="CI45" s="59482"/>
      <c r="CJ45" s="59482"/>
      <c r="CK45" s="59482"/>
      <c r="CL45" s="59482"/>
      <c r="CM45" s="59483"/>
      <c r="CN45" s="59481"/>
      <c r="CO45" s="59482"/>
      <c r="CP45" s="59482"/>
      <c r="CQ45" s="59482"/>
      <c r="CR45" s="59482"/>
      <c r="CS45" s="59482"/>
      <c r="CT45" s="59483"/>
      <c r="CU45" s="2759"/>
      <c r="CV45" s="1819" t="s">
        <v>621</v>
      </c>
      <c r="CX45" s="1012"/>
      <c r="CY45" s="1012" t="str">
        <f>IF(T45="","",T45)</f>
        <v>Группа потребителей</v>
      </c>
      <c r="CZ45" s="1012"/>
      <c r="DA45" s="1012"/>
      <c r="DB45" s="1667">
        <v>23</v>
      </c>
    </row>
    <row customHeight="1" ht="24">
      <c r="A46" s="1875" t="s">
        <v>370</v>
      </c>
      <c r="B46" s="1875" t="s">
        <v>371</v>
      </c>
      <c r="C46" s="1875" t="s">
        <v>372</v>
      </c>
      <c r="D46" s="1875" t="s">
        <v>634</v>
      </c>
      <c r="E46" s="2771"/>
      <c r="F46" s="2771"/>
      <c r="G46" s="2771"/>
      <c r="H46" s="2771"/>
      <c r="I46" s="2798"/>
      <c r="J46" s="2798"/>
      <c r="K46" s="2768" t="str">
        <f>J45&amp;".1"</f>
        <v>1.1.1.1.1.1</v>
      </c>
      <c r="L46" s="1876"/>
      <c r="P46" s="2769"/>
      <c r="Q46" s="2769"/>
      <c r="R46" s="869">
        <v>1</v>
      </c>
      <c r="S46" s="1969" t="str">
        <f>$K46</f>
        <v>1.1.1.1.1.1</v>
      </c>
      <c r="T46" s="1949"/>
      <c r="U46" s="812"/>
      <c r="V46" s="1263"/>
      <c r="W46" s="1263"/>
      <c r="X46" s="1769"/>
      <c r="Y46" s="2777"/>
      <c r="Z46" s="2619" t="s">
        <v>63</v>
      </c>
      <c r="AA46" s="2777"/>
      <c r="AB46" s="2619" t="s">
        <v>63</v>
      </c>
      <c r="AC46" s="1263">
        <v>14.04</v>
      </c>
      <c r="AD46" s="1263"/>
      <c r="AE46" s="1769"/>
      <c r="AF46" s="57093">
        <v>45292.68480324074</v>
      </c>
      <c r="AG46" s="2619" t="s">
        <v>63</v>
      </c>
      <c r="AH46" s="57094">
        <v>45473.685011574074</v>
      </c>
      <c r="AI46" s="2619" t="s">
        <v>63</v>
      </c>
      <c r="AJ46" s="59484">
        <v>18.25</v>
      </c>
      <c r="AK46" s="59484"/>
      <c r="AL46" s="59485"/>
      <c r="AM46" s="57093">
        <v>45474.685752314814</v>
      </c>
      <c r="AN46" s="59486" t="s">
        <v>63</v>
      </c>
      <c r="AO46" s="57093">
        <v>45657.685902777775</v>
      </c>
      <c r="AP46" s="59486" t="s">
        <v>63</v>
      </c>
      <c r="AQ46" s="59484">
        <v>18.25</v>
      </c>
      <c r="AR46" s="59484"/>
      <c r="AS46" s="59485"/>
      <c r="AT46" s="57093">
        <v>45658.686111111114</v>
      </c>
      <c r="AU46" s="59486" t="s">
        <v>63</v>
      </c>
      <c r="AV46" s="57093">
        <v>45838.68630787037</v>
      </c>
      <c r="AW46" s="59486" t="s">
        <v>63</v>
      </c>
      <c r="AX46" s="59484">
        <v>21</v>
      </c>
      <c r="AY46" s="59484"/>
      <c r="AZ46" s="59485"/>
      <c r="BA46" s="57093">
        <v>45839.68733796296</v>
      </c>
      <c r="BB46" s="59486" t="s">
        <v>63</v>
      </c>
      <c r="BC46" s="57093">
        <v>46022.68765046296</v>
      </c>
      <c r="BD46" s="59486" t="s">
        <v>63</v>
      </c>
      <c r="BE46" s="59484">
        <v>21</v>
      </c>
      <c r="BF46" s="59484"/>
      <c r="BG46" s="59485"/>
      <c r="BH46" s="57093">
        <v>46023.68824074074</v>
      </c>
      <c r="BI46" s="59486" t="s">
        <v>63</v>
      </c>
      <c r="BJ46" s="57093">
        <v>46203.68849537037</v>
      </c>
      <c r="BK46" s="59486" t="s">
        <v>63</v>
      </c>
      <c r="BL46" s="59484">
        <v>21.42</v>
      </c>
      <c r="BM46" s="59484"/>
      <c r="BN46" s="59485"/>
      <c r="BO46" s="57093">
        <v>46204.689097222225</v>
      </c>
      <c r="BP46" s="59486" t="s">
        <v>63</v>
      </c>
      <c r="BQ46" s="57093">
        <v>46387.68927083333</v>
      </c>
      <c r="BR46" s="59486" t="s">
        <v>63</v>
      </c>
      <c r="BS46" s="59484">
        <v>21.42</v>
      </c>
      <c r="BT46" s="59484"/>
      <c r="BU46" s="59485"/>
      <c r="BV46" s="57093">
        <v>46388.68969907407</v>
      </c>
      <c r="BW46" s="59486" t="s">
        <v>63</v>
      </c>
      <c r="BX46" s="57093">
        <v>46568.689930555556</v>
      </c>
      <c r="BY46" s="59486" t="s">
        <v>63</v>
      </c>
      <c r="BZ46" s="59484">
        <v>21.84</v>
      </c>
      <c r="CA46" s="59484"/>
      <c r="CB46" s="59485"/>
      <c r="CC46" s="57093">
        <v>46569.69043981482</v>
      </c>
      <c r="CD46" s="59486" t="s">
        <v>63</v>
      </c>
      <c r="CE46" s="57093">
        <v>46752.69094907407</v>
      </c>
      <c r="CF46" s="59486" t="s">
        <v>63</v>
      </c>
      <c r="CG46" s="59484">
        <v>21.84</v>
      </c>
      <c r="CH46" s="59484"/>
      <c r="CI46" s="59485"/>
      <c r="CJ46" s="57093">
        <v>46753.6922337963</v>
      </c>
      <c r="CK46" s="59486" t="s">
        <v>63</v>
      </c>
      <c r="CL46" s="57093">
        <v>46934.69248842593</v>
      </c>
      <c r="CM46" s="59486" t="s">
        <v>63</v>
      </c>
      <c r="CN46" s="59484">
        <v>22.73</v>
      </c>
      <c r="CO46" s="59484"/>
      <c r="CP46" s="59485"/>
      <c r="CQ46" s="57093">
        <v>46935.692708333336</v>
      </c>
      <c r="CR46" s="59486" t="s">
        <v>63</v>
      </c>
      <c r="CS46" s="57093">
        <v>47118.692928240744</v>
      </c>
      <c r="CT46" s="59486" t="s">
        <v>63</v>
      </c>
      <c r="CU46" s="1950"/>
      <c r="CV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1023">
        <f>STRCHECKDATE(V47:CU47)</f>
      </c>
      <c r="CX46" s="1012"/>
      <c r="CY46" s="1012" t="str">
        <f>IF(T46="","",T46)</f>
        <v/>
      </c>
      <c r="CZ46" s="1012"/>
      <c r="DA46" s="1012"/>
      <c r="DB46" s="1667">
        <v>23</v>
      </c>
    </row>
    <row customHeight="1" ht="0">
      <c r="A47" s="1875" t="s">
        <v>370</v>
      </c>
      <c r="B47" s="1875" t="s">
        <v>371</v>
      </c>
      <c r="C47" s="1875" t="s">
        <v>372</v>
      </c>
      <c r="D47" s="1875" t="s">
        <v>634</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45292.68480324074-45473.685011574074</v>
      </c>
      <c r="AF47" s="2778"/>
      <c r="AG47" s="2619"/>
      <c r="AH47" s="2800"/>
      <c r="AI47" s="2619"/>
      <c r="AJ47" s="59488"/>
      <c r="AK47" s="59488"/>
      <c r="AL47" s="59489" t="str">
        <f>AM46&amp;"-"&amp;AO46</f>
        <v>45474.685752314814-45657.685902777775</v>
      </c>
      <c r="AM47" s="59490"/>
      <c r="AN47" s="59486"/>
      <c r="AO47" s="59490"/>
      <c r="AP47" s="59486"/>
      <c r="AQ47" s="59488"/>
      <c r="AR47" s="59488"/>
      <c r="AS47" s="59489" t="str">
        <f>AT46&amp;"-"&amp;AV46</f>
        <v>45658.686111111114-45838.68630787037</v>
      </c>
      <c r="AT47" s="59490"/>
      <c r="AU47" s="59486"/>
      <c r="AV47" s="59490"/>
      <c r="AW47" s="59486"/>
      <c r="AX47" s="59488"/>
      <c r="AY47" s="59488"/>
      <c r="AZ47" s="59489" t="str">
        <f>BA46&amp;"-"&amp;BC46</f>
        <v>45839.68733796296-46022.68765046296</v>
      </c>
      <c r="BA47" s="59490"/>
      <c r="BB47" s="59486"/>
      <c r="BC47" s="59490"/>
      <c r="BD47" s="59486"/>
      <c r="BE47" s="59488"/>
      <c r="BF47" s="59488"/>
      <c r="BG47" s="59489" t="str">
        <f>BH46&amp;"-"&amp;BJ46</f>
        <v>46023.68824074074-46203.68849537037</v>
      </c>
      <c r="BH47" s="59490"/>
      <c r="BI47" s="59486"/>
      <c r="BJ47" s="59490"/>
      <c r="BK47" s="59486"/>
      <c r="BL47" s="59488"/>
      <c r="BM47" s="59488"/>
      <c r="BN47" s="59489" t="str">
        <f>BO46&amp;"-"&amp;BQ46</f>
        <v>46204.689097222225-46387.68927083333</v>
      </c>
      <c r="BO47" s="59490"/>
      <c r="BP47" s="59486"/>
      <c r="BQ47" s="59490"/>
      <c r="BR47" s="59486"/>
      <c r="BS47" s="59488"/>
      <c r="BT47" s="59488"/>
      <c r="BU47" s="59489" t="str">
        <f>BV46&amp;"-"&amp;BX46</f>
        <v>46388.68969907407-46568.689930555556</v>
      </c>
      <c r="BV47" s="59490"/>
      <c r="BW47" s="59486"/>
      <c r="BX47" s="59490"/>
      <c r="BY47" s="59486"/>
      <c r="BZ47" s="59488"/>
      <c r="CA47" s="59488"/>
      <c r="CB47" s="59489" t="str">
        <f>CC46&amp;"-"&amp;CE46</f>
        <v>46569.69043981482-46752.69094907407</v>
      </c>
      <c r="CC47" s="59490"/>
      <c r="CD47" s="59486"/>
      <c r="CE47" s="59490"/>
      <c r="CF47" s="59486"/>
      <c r="CG47" s="59488"/>
      <c r="CH47" s="59488"/>
      <c r="CI47" s="59489" t="str">
        <f>CJ46&amp;"-"&amp;CL46</f>
        <v>46753.6922337963-46934.69248842593</v>
      </c>
      <c r="CJ47" s="59490"/>
      <c r="CK47" s="59486"/>
      <c r="CL47" s="59490"/>
      <c r="CM47" s="59486"/>
      <c r="CN47" s="59488"/>
      <c r="CO47" s="59488"/>
      <c r="CP47" s="59489" t="str">
        <f>CQ46&amp;"-"&amp;CS46</f>
        <v>46935.692708333336-47118.692928240744</v>
      </c>
      <c r="CQ47" s="59490"/>
      <c r="CR47" s="59486"/>
      <c r="CS47" s="59490"/>
      <c r="CT47" s="59486"/>
      <c r="CU47" s="1951"/>
      <c r="CV47" s="2861"/>
      <c r="CX47" s="1012"/>
      <c r="CY47" s="1012" t="str">
        <f>IF(T47="","",T47)</f>
        <v/>
      </c>
      <c r="CZ47" s="1012"/>
      <c r="DA47" s="1012"/>
      <c r="DB47" s="1667">
        <v>0</v>
      </c>
    </row>
    <row customHeight="1" ht="21">
      <c r="A48" s="1875" t="s">
        <v>370</v>
      </c>
      <c r="B48" s="1875" t="s">
        <v>371</v>
      </c>
      <c r="C48" s="1875" t="s">
        <v>372</v>
      </c>
      <c r="D48" s="1875" t="s">
        <v>634</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59712"/>
      <c r="AK48" s="59713"/>
      <c r="AL48" s="59714"/>
      <c r="AM48" s="59715"/>
      <c r="AN48" s="59716"/>
      <c r="AO48" s="59717"/>
      <c r="AP48" s="59718"/>
      <c r="AQ48" s="59719"/>
      <c r="AR48" s="59720"/>
      <c r="AS48" s="59721"/>
      <c r="AT48" s="59722"/>
      <c r="AU48" s="59723"/>
      <c r="AV48" s="59724"/>
      <c r="AW48" s="59725"/>
      <c r="AX48" s="59726"/>
      <c r="AY48" s="59727"/>
      <c r="AZ48" s="59728"/>
      <c r="BA48" s="59729"/>
      <c r="BB48" s="59730"/>
      <c r="BC48" s="59731"/>
      <c r="BD48" s="59732"/>
      <c r="BE48" s="59733"/>
      <c r="BF48" s="59734"/>
      <c r="BG48" s="59735"/>
      <c r="BH48" s="59736"/>
      <c r="BI48" s="59737"/>
      <c r="BJ48" s="59738"/>
      <c r="BK48" s="59739"/>
      <c r="BL48" s="59740"/>
      <c r="BM48" s="59741"/>
      <c r="BN48" s="59742"/>
      <c r="BO48" s="59743"/>
      <c r="BP48" s="59744"/>
      <c r="BQ48" s="59745"/>
      <c r="BR48" s="59746"/>
      <c r="BS48" s="59747"/>
      <c r="BT48" s="59748"/>
      <c r="BU48" s="59749"/>
      <c r="BV48" s="59750"/>
      <c r="BW48" s="59751"/>
      <c r="BX48" s="59752"/>
      <c r="BY48" s="59753"/>
      <c r="BZ48" s="59754"/>
      <c r="CA48" s="59755"/>
      <c r="CB48" s="59756"/>
      <c r="CC48" s="59757"/>
      <c r="CD48" s="59758"/>
      <c r="CE48" s="59759"/>
      <c r="CF48" s="59760"/>
      <c r="CG48" s="59761"/>
      <c r="CH48" s="59762"/>
      <c r="CI48" s="59763"/>
      <c r="CJ48" s="59764"/>
      <c r="CK48" s="59765"/>
      <c r="CL48" s="59766"/>
      <c r="CM48" s="59767"/>
      <c r="CN48" s="59768"/>
      <c r="CO48" s="59769"/>
      <c r="CP48" s="59770"/>
      <c r="CQ48" s="59771"/>
      <c r="CR48" s="59772"/>
      <c r="CS48" s="59773"/>
      <c r="CT48" s="59774"/>
      <c r="CU48" s="879"/>
      <c r="CV48" s="1770" t="s">
        <v>623</v>
      </c>
      <c r="CX48" s="1012"/>
      <c r="CY48" s="1012" t="str">
        <f>IF(T48="","",T48)</f>
        <v>Добавить значение признака дифференциации</v>
      </c>
      <c r="CZ48" s="1012"/>
      <c r="DA48" s="1012"/>
      <c r="DB48" s="1667">
        <v>20</v>
      </c>
    </row>
    <row s="59775" customFormat="1" customHeight="1" ht="23.25">
      <c r="A49" s="59776"/>
      <c r="B49" s="59776"/>
      <c r="C49" s="59776"/>
      <c r="D49" s="59776"/>
      <c r="E49" s="59777"/>
      <c r="F49" s="59777"/>
      <c r="G49" s="59777"/>
      <c r="H49" s="59777"/>
      <c r="I49" s="59778"/>
      <c r="J49" s="59779" t="str">
        <f>I44&amp;".2"</f>
        <v>1.1.1.1.2</v>
      </c>
      <c r="K49" s="59776"/>
      <c r="L49" s="59780" t="s">
        <v>545</v>
      </c>
      <c r="M49" s="59781"/>
      <c r="N49" s="59781"/>
      <c r="O49" s="59781"/>
      <c r="P49" s="59782"/>
      <c r="Q49" s="59783" t="s">
        <v>106</v>
      </c>
      <c r="R49" s="59784"/>
      <c r="S49" s="59785" t="str">
        <f>$J49</f>
        <v>1.1.1.1.2</v>
      </c>
      <c r="T49" s="59786" t="s">
        <v>546</v>
      </c>
      <c r="U49" s="59787"/>
      <c r="V49" s="59481"/>
      <c r="W49" s="59482"/>
      <c r="X49" s="59482"/>
      <c r="Y49" s="59482"/>
      <c r="Z49" s="59482"/>
      <c r="AA49" s="59482"/>
      <c r="AB49" s="59483"/>
      <c r="AC49" s="59481" t="s">
        <v>633</v>
      </c>
      <c r="AD49" s="59482"/>
      <c r="AE49" s="59482"/>
      <c r="AF49" s="59482"/>
      <c r="AG49" s="59482"/>
      <c r="AH49" s="59482"/>
      <c r="AI49" s="59482"/>
      <c r="AJ49" s="59481"/>
      <c r="AK49" s="59482"/>
      <c r="AL49" s="59482"/>
      <c r="AM49" s="59482"/>
      <c r="AN49" s="59482"/>
      <c r="AO49" s="59482"/>
      <c r="AP49" s="59483"/>
      <c r="AQ49" s="59481"/>
      <c r="AR49" s="59482"/>
      <c r="AS49" s="59482"/>
      <c r="AT49" s="59482"/>
      <c r="AU49" s="59482"/>
      <c r="AV49" s="59482"/>
      <c r="AW49" s="59483"/>
      <c r="AX49" s="59481"/>
      <c r="AY49" s="59482"/>
      <c r="AZ49" s="59482"/>
      <c r="BA49" s="59482"/>
      <c r="BB49" s="59482"/>
      <c r="BC49" s="59482"/>
      <c r="BD49" s="59483"/>
      <c r="BE49" s="59481"/>
      <c r="BF49" s="59482"/>
      <c r="BG49" s="59482"/>
      <c r="BH49" s="59482"/>
      <c r="BI49" s="59482"/>
      <c r="BJ49" s="59482"/>
      <c r="BK49" s="59483"/>
      <c r="BL49" s="59481"/>
      <c r="BM49" s="59482"/>
      <c r="BN49" s="59482"/>
      <c r="BO49" s="59482"/>
      <c r="BP49" s="59482"/>
      <c r="BQ49" s="59482"/>
      <c r="BR49" s="59483"/>
      <c r="BS49" s="59481"/>
      <c r="BT49" s="59482"/>
      <c r="BU49" s="59482"/>
      <c r="BV49" s="59482"/>
      <c r="BW49" s="59482"/>
      <c r="BX49" s="59482"/>
      <c r="BY49" s="59483"/>
      <c r="BZ49" s="59481"/>
      <c r="CA49" s="59482"/>
      <c r="CB49" s="59482"/>
      <c r="CC49" s="59482"/>
      <c r="CD49" s="59482"/>
      <c r="CE49" s="59482"/>
      <c r="CF49" s="59483"/>
      <c r="CG49" s="59481"/>
      <c r="CH49" s="59482"/>
      <c r="CI49" s="59482"/>
      <c r="CJ49" s="59482"/>
      <c r="CK49" s="59482"/>
      <c r="CL49" s="59482"/>
      <c r="CM49" s="59483"/>
      <c r="CN49" s="59481"/>
      <c r="CO49" s="59482"/>
      <c r="CP49" s="59482"/>
      <c r="CQ49" s="59482"/>
      <c r="CR49" s="59482"/>
      <c r="CS49" s="59482"/>
      <c r="CT49" s="59483"/>
      <c r="CU49" s="59483"/>
      <c r="CV49" s="59788" t="s">
        <v>621</v>
      </c>
      <c r="CW49" s="59692"/>
      <c r="CX49" s="59789"/>
      <c r="CY49" s="59789" t="str">
        <f>IF(T49="","",T49)</f>
        <v>Группа потребителей</v>
      </c>
      <c r="CZ49" s="59789"/>
      <c r="DA49" s="59789"/>
      <c r="DB49" s="59471">
        <v>0</v>
      </c>
    </row>
    <row s="59790" customFormat="1" customHeight="1" ht="23.25">
      <c r="A50" s="59776"/>
      <c r="B50" s="59776"/>
      <c r="C50" s="59776"/>
      <c r="D50" s="59776"/>
      <c r="E50" s="59777"/>
      <c r="F50" s="59777"/>
      <c r="G50" s="59777"/>
      <c r="H50" s="59777"/>
      <c r="I50" s="59778"/>
      <c r="J50" s="59778" t="str">
        <f>I44&amp;".1"</f>
        <v>1.1.1.1.1</v>
      </c>
      <c r="K50" s="59779" t="str">
        <f>J49&amp;".1"</f>
        <v>1.1.1.1.2.1</v>
      </c>
      <c r="L50" s="59780"/>
      <c r="M50" s="59781"/>
      <c r="N50" s="59781"/>
      <c r="O50" s="59781"/>
      <c r="P50" s="59782"/>
      <c r="Q50" s="59782"/>
      <c r="R50" s="59784">
        <v>1</v>
      </c>
      <c r="S50" s="59785" t="str">
        <f>$K50</f>
        <v>1.1.1.1.2.1</v>
      </c>
      <c r="T50" s="59791"/>
      <c r="U50" s="59787"/>
      <c r="V50" s="59484"/>
      <c r="W50" s="59484"/>
      <c r="X50" s="59485"/>
      <c r="Y50" s="57093"/>
      <c r="Z50" s="59486" t="s">
        <v>63</v>
      </c>
      <c r="AA50" s="57093"/>
      <c r="AB50" s="59486" t="s">
        <v>63</v>
      </c>
      <c r="AC50" s="59484">
        <v>11.7</v>
      </c>
      <c r="AD50" s="59484"/>
      <c r="AE50" s="59485"/>
      <c r="AF50" s="57093">
        <v>45292.684907407405</v>
      </c>
      <c r="AG50" s="59486" t="s">
        <v>63</v>
      </c>
      <c r="AH50" s="57094">
        <v>45473.68508101852</v>
      </c>
      <c r="AI50" s="59486" t="s">
        <v>63</v>
      </c>
      <c r="AJ50" s="59484">
        <v>15.21</v>
      </c>
      <c r="AK50" s="59484"/>
      <c r="AL50" s="59485"/>
      <c r="AM50" s="57093">
        <v>45474.68583333334</v>
      </c>
      <c r="AN50" s="59486" t="s">
        <v>63</v>
      </c>
      <c r="AO50" s="57093">
        <v>45657.685949074075</v>
      </c>
      <c r="AP50" s="59486" t="s">
        <v>63</v>
      </c>
      <c r="AQ50" s="59484">
        <v>15.21</v>
      </c>
      <c r="AR50" s="59484"/>
      <c r="AS50" s="59485"/>
      <c r="AT50" s="57093">
        <v>45658.68623842593</v>
      </c>
      <c r="AU50" s="59486" t="s">
        <v>63</v>
      </c>
      <c r="AV50" s="57093">
        <v>45838.68649305555</v>
      </c>
      <c r="AW50" s="59486" t="s">
        <v>63</v>
      </c>
      <c r="AX50" s="59484">
        <v>17.5</v>
      </c>
      <c r="AY50" s="59484"/>
      <c r="AZ50" s="59485"/>
      <c r="BA50" s="57093">
        <v>45839.6875</v>
      </c>
      <c r="BB50" s="59486" t="s">
        <v>63</v>
      </c>
      <c r="BC50" s="57093">
        <v>46022.68775462963</v>
      </c>
      <c r="BD50" s="59486" t="s">
        <v>63</v>
      </c>
      <c r="BE50" s="59484">
        <v>17.5</v>
      </c>
      <c r="BF50" s="59484"/>
      <c r="BG50" s="59485"/>
      <c r="BH50" s="57093">
        <v>46023.688368055555</v>
      </c>
      <c r="BI50" s="59486" t="s">
        <v>63</v>
      </c>
      <c r="BJ50" s="57093">
        <v>46203.68861111111</v>
      </c>
      <c r="BK50" s="59486" t="s">
        <v>63</v>
      </c>
      <c r="BL50" s="59484">
        <v>17.85</v>
      </c>
      <c r="BM50" s="59484"/>
      <c r="BN50" s="59485"/>
      <c r="BO50" s="57093">
        <v>46204.68917824074</v>
      </c>
      <c r="BP50" s="59486" t="s">
        <v>63</v>
      </c>
      <c r="BQ50" s="57093">
        <v>46387.689351851855</v>
      </c>
      <c r="BR50" s="59486" t="s">
        <v>63</v>
      </c>
      <c r="BS50" s="59484">
        <v>17.85</v>
      </c>
      <c r="BT50" s="59484"/>
      <c r="BU50" s="59485"/>
      <c r="BV50" s="57093">
        <v>46388.68982638889</v>
      </c>
      <c r="BW50" s="59486" t="s">
        <v>63</v>
      </c>
      <c r="BX50" s="57093">
        <v>46568.69005787037</v>
      </c>
      <c r="BY50" s="59486" t="s">
        <v>63</v>
      </c>
      <c r="BZ50" s="59484">
        <v>18.2</v>
      </c>
      <c r="CA50" s="59484"/>
      <c r="CB50" s="59485"/>
      <c r="CC50" s="57093">
        <v>46569.690775462965</v>
      </c>
      <c r="CD50" s="59486" t="s">
        <v>63</v>
      </c>
      <c r="CE50" s="57093">
        <v>46752.691030092596</v>
      </c>
      <c r="CF50" s="59486" t="s">
        <v>63</v>
      </c>
      <c r="CG50" s="59484">
        <v>18.2</v>
      </c>
      <c r="CH50" s="59484"/>
      <c r="CI50" s="59485"/>
      <c r="CJ50" s="57093">
        <v>46753.69237268518</v>
      </c>
      <c r="CK50" s="59486" t="s">
        <v>63</v>
      </c>
      <c r="CL50" s="57093">
        <v>46934.69256944444</v>
      </c>
      <c r="CM50" s="59486" t="s">
        <v>63</v>
      </c>
      <c r="CN50" s="59484">
        <v>18.94</v>
      </c>
      <c r="CO50" s="59484"/>
      <c r="CP50" s="59485"/>
      <c r="CQ50" s="57093">
        <v>46935.692824074074</v>
      </c>
      <c r="CR50" s="59486" t="s">
        <v>63</v>
      </c>
      <c r="CS50" s="57093">
        <v>47118.693032407406</v>
      </c>
      <c r="CT50" s="59486" t="s">
        <v>63</v>
      </c>
      <c r="CU50" s="59792"/>
      <c r="CV50" s="597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59692">
        <f>STRCHECKDATE(V51:CU51)</f>
      </c>
      <c r="CX50" s="59789"/>
      <c r="CY50" s="59789" t="str">
        <f>IF(T50="","",T50)</f>
        <v/>
      </c>
      <c r="CZ50" s="59789"/>
      <c r="DA50" s="59789"/>
      <c r="DB50" s="59471">
        <v>0</v>
      </c>
    </row>
    <row s="59794" customFormat="1" customHeight="1" ht="14.25">
      <c r="A51" s="59776"/>
      <c r="B51" s="59776"/>
      <c r="C51" s="59776"/>
      <c r="D51" s="59776"/>
      <c r="E51" s="59777"/>
      <c r="F51" s="59777"/>
      <c r="G51" s="59777"/>
      <c r="H51" s="59777"/>
      <c r="I51" s="59778"/>
      <c r="J51" s="59778" t="str">
        <f>I44&amp;".1"</f>
        <v>1.1.1.1.1</v>
      </c>
      <c r="K51" s="59779"/>
      <c r="L51" s="59780"/>
      <c r="M51" s="59781"/>
      <c r="N51" s="59781"/>
      <c r="O51" s="59781"/>
      <c r="P51" s="59782"/>
      <c r="Q51" s="59782"/>
      <c r="R51" s="59784"/>
      <c r="S51" s="59795"/>
      <c r="T51" s="59787"/>
      <c r="U51" s="59787"/>
      <c r="V51" s="59488"/>
      <c r="W51" s="59488"/>
      <c r="X51" s="59489" t="str">
        <f>Y50&amp;"-"&amp;AA50</f>
        <v>-</v>
      </c>
      <c r="Y51" s="59490"/>
      <c r="Z51" s="59486"/>
      <c r="AA51" s="59490"/>
      <c r="AB51" s="59486"/>
      <c r="AC51" s="59488"/>
      <c r="AD51" s="59488"/>
      <c r="AE51" s="59489" t="str">
        <f>AF50&amp;"-"&amp;AH50</f>
        <v>45292.684907407405-45473.68508101852</v>
      </c>
      <c r="AF51" s="59490"/>
      <c r="AG51" s="59486"/>
      <c r="AH51" s="59796"/>
      <c r="AI51" s="59486"/>
      <c r="AJ51" s="59488"/>
      <c r="AK51" s="59488"/>
      <c r="AL51" s="59489" t="str">
        <f>AM50&amp;"-"&amp;AO50</f>
        <v>45474.68583333334-45657.685949074075</v>
      </c>
      <c r="AM51" s="59490"/>
      <c r="AN51" s="59486"/>
      <c r="AO51" s="59490"/>
      <c r="AP51" s="59486"/>
      <c r="AQ51" s="59488"/>
      <c r="AR51" s="59488"/>
      <c r="AS51" s="59489" t="str">
        <f>AT50&amp;"-"&amp;AV50</f>
        <v>45658.68623842593-45838.68649305555</v>
      </c>
      <c r="AT51" s="59490"/>
      <c r="AU51" s="59486"/>
      <c r="AV51" s="59490"/>
      <c r="AW51" s="59486"/>
      <c r="AX51" s="59488"/>
      <c r="AY51" s="59488"/>
      <c r="AZ51" s="59489" t="str">
        <f>BA50&amp;"-"&amp;BC50</f>
        <v>45839.6875-46022.68775462963</v>
      </c>
      <c r="BA51" s="59490"/>
      <c r="BB51" s="59486"/>
      <c r="BC51" s="59490"/>
      <c r="BD51" s="59486"/>
      <c r="BE51" s="59488"/>
      <c r="BF51" s="59488"/>
      <c r="BG51" s="59489" t="str">
        <f>BH50&amp;"-"&amp;BJ50</f>
        <v>46023.688368055555-46203.68861111111</v>
      </c>
      <c r="BH51" s="59490"/>
      <c r="BI51" s="59486"/>
      <c r="BJ51" s="59490"/>
      <c r="BK51" s="59486"/>
      <c r="BL51" s="59488"/>
      <c r="BM51" s="59488"/>
      <c r="BN51" s="59489" t="str">
        <f>BO50&amp;"-"&amp;BQ50</f>
        <v>46204.68917824074-46387.689351851855</v>
      </c>
      <c r="BO51" s="59490"/>
      <c r="BP51" s="59486"/>
      <c r="BQ51" s="59490"/>
      <c r="BR51" s="59486"/>
      <c r="BS51" s="59488"/>
      <c r="BT51" s="59488"/>
      <c r="BU51" s="59489" t="str">
        <f>BV50&amp;"-"&amp;BX50</f>
        <v>46388.68982638889-46568.69005787037</v>
      </c>
      <c r="BV51" s="59490"/>
      <c r="BW51" s="59486"/>
      <c r="BX51" s="59490"/>
      <c r="BY51" s="59486"/>
      <c r="BZ51" s="59488"/>
      <c r="CA51" s="59488"/>
      <c r="CB51" s="59489" t="str">
        <f>CC50&amp;"-"&amp;CE50</f>
        <v>46569.690775462965-46752.691030092596</v>
      </c>
      <c r="CC51" s="59490"/>
      <c r="CD51" s="59486"/>
      <c r="CE51" s="59490"/>
      <c r="CF51" s="59486"/>
      <c r="CG51" s="59488"/>
      <c r="CH51" s="59488"/>
      <c r="CI51" s="59489" t="str">
        <f>CJ50&amp;"-"&amp;CL50</f>
        <v>46753.69237268518-46934.69256944444</v>
      </c>
      <c r="CJ51" s="59490"/>
      <c r="CK51" s="59486"/>
      <c r="CL51" s="59490"/>
      <c r="CM51" s="59486"/>
      <c r="CN51" s="59488"/>
      <c r="CO51" s="59488"/>
      <c r="CP51" s="59489" t="str">
        <f>CQ50&amp;"-"&amp;CS50</f>
        <v>46935.692824074074-47118.693032407406</v>
      </c>
      <c r="CQ51" s="59490"/>
      <c r="CR51" s="59486"/>
      <c r="CS51" s="59490"/>
      <c r="CT51" s="59486"/>
      <c r="CU51" s="59797"/>
      <c r="CV51" s="59793"/>
      <c r="CW51" s="59692"/>
      <c r="CX51" s="59789"/>
      <c r="CY51" s="59789" t="str">
        <f>IF(T51="","",T51)</f>
        <v/>
      </c>
      <c r="CZ51" s="59789"/>
      <c r="DA51" s="59789"/>
      <c r="DB51" s="59471">
        <v>0</v>
      </c>
    </row>
    <row s="59798" customFormat="1" customHeight="1" ht="21">
      <c r="A52" s="59776"/>
      <c r="B52" s="59776"/>
      <c r="C52" s="59776"/>
      <c r="D52" s="59776"/>
      <c r="E52" s="59777"/>
      <c r="F52" s="59777"/>
      <c r="G52" s="59777"/>
      <c r="H52" s="59777"/>
      <c r="I52" s="59778"/>
      <c r="J52" s="59779" t="str">
        <f>I44&amp;".1"</f>
        <v>1.1.1.1.1</v>
      </c>
      <c r="K52" s="59776"/>
      <c r="L52" s="59780"/>
      <c r="M52" s="59781"/>
      <c r="N52" s="59781"/>
      <c r="O52" s="59781"/>
      <c r="P52" s="59782"/>
      <c r="Q52" s="59782"/>
      <c r="R52" s="59799"/>
      <c r="S52" s="59800"/>
      <c r="T52" s="59801" t="s">
        <v>622</v>
      </c>
      <c r="U52" s="59802"/>
      <c r="V52" s="59803"/>
      <c r="W52" s="59804"/>
      <c r="X52" s="59805"/>
      <c r="Y52" s="59806"/>
      <c r="Z52" s="59807"/>
      <c r="AA52" s="59808"/>
      <c r="AB52" s="59809"/>
      <c r="AC52" s="59810"/>
      <c r="AD52" s="59811"/>
      <c r="AE52" s="59812"/>
      <c r="AF52" s="59813"/>
      <c r="AG52" s="59814"/>
      <c r="AH52" s="59815"/>
      <c r="AI52" s="59816"/>
      <c r="AJ52" s="59817"/>
      <c r="AK52" s="59818"/>
      <c r="AL52" s="59819"/>
      <c r="AM52" s="59820"/>
      <c r="AN52" s="59821"/>
      <c r="AO52" s="59822"/>
      <c r="AP52" s="59823"/>
      <c r="AQ52" s="59824"/>
      <c r="AR52" s="59825"/>
      <c r="AS52" s="59826"/>
      <c r="AT52" s="59827"/>
      <c r="AU52" s="59828"/>
      <c r="AV52" s="59829"/>
      <c r="AW52" s="59830"/>
      <c r="AX52" s="59831"/>
      <c r="AY52" s="59832"/>
      <c r="AZ52" s="59833"/>
      <c r="BA52" s="59834"/>
      <c r="BB52" s="59835"/>
      <c r="BC52" s="59836"/>
      <c r="BD52" s="59837"/>
      <c r="BE52" s="59838"/>
      <c r="BF52" s="59839"/>
      <c r="BG52" s="59840"/>
      <c r="BH52" s="59841"/>
      <c r="BI52" s="59842"/>
      <c r="BJ52" s="59843"/>
      <c r="BK52" s="59844"/>
      <c r="BL52" s="59845"/>
      <c r="BM52" s="59846"/>
      <c r="BN52" s="59847"/>
      <c r="BO52" s="59848"/>
      <c r="BP52" s="59849"/>
      <c r="BQ52" s="59850"/>
      <c r="BR52" s="59851"/>
      <c r="BS52" s="59852"/>
      <c r="BT52" s="59853"/>
      <c r="BU52" s="59854"/>
      <c r="BV52" s="59855"/>
      <c r="BW52" s="59856"/>
      <c r="BX52" s="59857"/>
      <c r="BY52" s="59858"/>
      <c r="BZ52" s="59859"/>
      <c r="CA52" s="59860"/>
      <c r="CB52" s="59861"/>
      <c r="CC52" s="59862"/>
      <c r="CD52" s="59863"/>
      <c r="CE52" s="59864"/>
      <c r="CF52" s="59865"/>
      <c r="CG52" s="59866"/>
      <c r="CH52" s="59867"/>
      <c r="CI52" s="59868"/>
      <c r="CJ52" s="59869"/>
      <c r="CK52" s="59870"/>
      <c r="CL52" s="59871"/>
      <c r="CM52" s="59872"/>
      <c r="CN52" s="59873"/>
      <c r="CO52" s="59874"/>
      <c r="CP52" s="59875"/>
      <c r="CQ52" s="59876"/>
      <c r="CR52" s="59877"/>
      <c r="CS52" s="59878"/>
      <c r="CT52" s="59879"/>
      <c r="CU52" s="59880"/>
      <c r="CV52" s="59881" t="s">
        <v>623</v>
      </c>
      <c r="CW52" s="59692"/>
      <c r="CX52" s="59789"/>
      <c r="CY52" s="59789" t="str">
        <f>IF(T52="","",T52)</f>
        <v>Добавить значение признака дифференциации</v>
      </c>
      <c r="CZ52" s="59789"/>
      <c r="DA52" s="59789"/>
      <c r="DB52" s="59471">
        <v>0</v>
      </c>
    </row>
    <row customHeight="1" ht="22.049999999999997">
      <c r="A53" s="1875" t="s">
        <v>370</v>
      </c>
      <c r="B53" s="1875" t="s">
        <v>371</v>
      </c>
      <c r="C53" s="1875" t="s">
        <v>372</v>
      </c>
      <c r="D53" s="1875" t="s">
        <v>634</v>
      </c>
      <c r="E53" s="2771"/>
      <c r="F53" s="2771"/>
      <c r="G53" s="2771"/>
      <c r="H53" s="2771"/>
      <c r="I53" s="2768"/>
      <c r="J53" s="1875"/>
      <c r="K53" s="1875"/>
      <c r="L53" s="1876"/>
      <c r="P53" s="2769"/>
      <c r="Q53" s="1962"/>
      <c r="R53" s="868"/>
      <c r="S53" s="1790"/>
      <c r="T53" s="877" t="s">
        <v>551</v>
      </c>
      <c r="U53" s="879"/>
      <c r="V53" s="879"/>
      <c r="W53" s="879"/>
      <c r="X53" s="879"/>
      <c r="Y53" s="879"/>
      <c r="Z53" s="879"/>
      <c r="AA53" s="879"/>
      <c r="AB53" s="878"/>
      <c r="AC53" s="879"/>
      <c r="AD53" s="879"/>
      <c r="AE53" s="879"/>
      <c r="AF53" s="879"/>
      <c r="AG53" s="879"/>
      <c r="AH53" s="879"/>
      <c r="AI53" s="878"/>
      <c r="AJ53" s="59882"/>
      <c r="AK53" s="59883"/>
      <c r="AL53" s="59884"/>
      <c r="AM53" s="59885"/>
      <c r="AN53" s="59886"/>
      <c r="AO53" s="59887"/>
      <c r="AP53" s="59888"/>
      <c r="AQ53" s="59889"/>
      <c r="AR53" s="59890"/>
      <c r="AS53" s="59891"/>
      <c r="AT53" s="59892"/>
      <c r="AU53" s="59893"/>
      <c r="AV53" s="59894"/>
      <c r="AW53" s="59895"/>
      <c r="AX53" s="59896"/>
      <c r="AY53" s="59897"/>
      <c r="AZ53" s="59898"/>
      <c r="BA53" s="59899"/>
      <c r="BB53" s="59900"/>
      <c r="BC53" s="59901"/>
      <c r="BD53" s="59902"/>
      <c r="BE53" s="59903"/>
      <c r="BF53" s="59904"/>
      <c r="BG53" s="59905"/>
      <c r="BH53" s="59906"/>
      <c r="BI53" s="59907"/>
      <c r="BJ53" s="59908"/>
      <c r="BK53" s="59909"/>
      <c r="BL53" s="59910"/>
      <c r="BM53" s="59911"/>
      <c r="BN53" s="59912"/>
      <c r="BO53" s="59913"/>
      <c r="BP53" s="59914"/>
      <c r="BQ53" s="59915"/>
      <c r="BR53" s="59916"/>
      <c r="BS53" s="59917"/>
      <c r="BT53" s="59918"/>
      <c r="BU53" s="59919"/>
      <c r="BV53" s="59920"/>
      <c r="BW53" s="59921"/>
      <c r="BX53" s="59922"/>
      <c r="BY53" s="59923"/>
      <c r="BZ53" s="59924"/>
      <c r="CA53" s="59925"/>
      <c r="CB53" s="59926"/>
      <c r="CC53" s="59927"/>
      <c r="CD53" s="59928"/>
      <c r="CE53" s="59929"/>
      <c r="CF53" s="59930"/>
      <c r="CG53" s="59931"/>
      <c r="CH53" s="59932"/>
      <c r="CI53" s="59933"/>
      <c r="CJ53" s="59934"/>
      <c r="CK53" s="59935"/>
      <c r="CL53" s="59936"/>
      <c r="CM53" s="59937"/>
      <c r="CN53" s="59938"/>
      <c r="CO53" s="59939"/>
      <c r="CP53" s="59940"/>
      <c r="CQ53" s="59941"/>
      <c r="CR53" s="59942"/>
      <c r="CS53" s="59943"/>
      <c r="CT53" s="59944"/>
      <c r="CU53" s="879"/>
      <c r="CV53" s="1952"/>
      <c r="CX53" s="1012"/>
      <c r="CY53" s="1012" t="str">
        <f>IF(T53="","",T53)</f>
        <v>Добавить группу потребителей</v>
      </c>
      <c r="CZ53" s="1012"/>
      <c r="DA53" s="1012"/>
      <c r="DB53" s="1667">
        <v>21</v>
      </c>
    </row>
    <row customHeight="1" ht="22.049999999999997">
      <c r="A54" s="1875" t="s">
        <v>370</v>
      </c>
      <c r="B54" s="1875" t="s">
        <v>371</v>
      </c>
      <c r="C54" s="1875" t="s">
        <v>372</v>
      </c>
      <c r="D54" s="1875" t="s">
        <v>634</v>
      </c>
      <c r="E54" s="2771"/>
      <c r="F54" s="2771"/>
      <c r="G54" s="2771"/>
      <c r="H54" s="2770"/>
      <c r="I54" s="1875"/>
      <c r="J54" s="1875"/>
      <c r="K54" s="1875"/>
      <c r="L54" s="1876"/>
      <c r="M54" s="1877"/>
      <c r="N54" s="1877"/>
      <c r="O54" s="1049"/>
      <c r="P54" s="872"/>
      <c r="Q54" s="887"/>
      <c r="R54" s="867"/>
      <c r="S54" s="1790"/>
      <c r="T54" s="884" t="s">
        <v>624</v>
      </c>
      <c r="U54" s="879"/>
      <c r="V54" s="879"/>
      <c r="W54" s="879"/>
      <c r="X54" s="879"/>
      <c r="Y54" s="879"/>
      <c r="Z54" s="879"/>
      <c r="AA54" s="879"/>
      <c r="AB54" s="878"/>
      <c r="AC54" s="879"/>
      <c r="AD54" s="879"/>
      <c r="AE54" s="879"/>
      <c r="AF54" s="879"/>
      <c r="AG54" s="879"/>
      <c r="AH54" s="879"/>
      <c r="AI54" s="878"/>
      <c r="AJ54" s="59945"/>
      <c r="AK54" s="59946"/>
      <c r="AL54" s="59947"/>
      <c r="AM54" s="59948"/>
      <c r="AN54" s="59949"/>
      <c r="AO54" s="59950"/>
      <c r="AP54" s="59951"/>
      <c r="AQ54" s="59952"/>
      <c r="AR54" s="59953"/>
      <c r="AS54" s="59954"/>
      <c r="AT54" s="59955"/>
      <c r="AU54" s="59956"/>
      <c r="AV54" s="59957"/>
      <c r="AW54" s="59958"/>
      <c r="AX54" s="59959"/>
      <c r="AY54" s="59960"/>
      <c r="AZ54" s="59961"/>
      <c r="BA54" s="59962"/>
      <c r="BB54" s="59963"/>
      <c r="BC54" s="59964"/>
      <c r="BD54" s="59965"/>
      <c r="BE54" s="59966"/>
      <c r="BF54" s="59967"/>
      <c r="BG54" s="59968"/>
      <c r="BH54" s="59969"/>
      <c r="BI54" s="59970"/>
      <c r="BJ54" s="59971"/>
      <c r="BK54" s="59972"/>
      <c r="BL54" s="59973"/>
      <c r="BM54" s="59974"/>
      <c r="BN54" s="59975"/>
      <c r="BO54" s="59976"/>
      <c r="BP54" s="59977"/>
      <c r="BQ54" s="59978"/>
      <c r="BR54" s="59979"/>
      <c r="BS54" s="59980"/>
      <c r="BT54" s="59981"/>
      <c r="BU54" s="59982"/>
      <c r="BV54" s="59983"/>
      <c r="BW54" s="59984"/>
      <c r="BX54" s="59985"/>
      <c r="BY54" s="59986"/>
      <c r="BZ54" s="59987"/>
      <c r="CA54" s="59988"/>
      <c r="CB54" s="59989"/>
      <c r="CC54" s="59990"/>
      <c r="CD54" s="59991"/>
      <c r="CE54" s="59992"/>
      <c r="CF54" s="59993"/>
      <c r="CG54" s="59994"/>
      <c r="CH54" s="59995"/>
      <c r="CI54" s="59996"/>
      <c r="CJ54" s="59997"/>
      <c r="CK54" s="59998"/>
      <c r="CL54" s="59999"/>
      <c r="CM54" s="60000"/>
      <c r="CN54" s="60001"/>
      <c r="CO54" s="60002"/>
      <c r="CP54" s="60003"/>
      <c r="CQ54" s="60004"/>
      <c r="CR54" s="60005"/>
      <c r="CS54" s="60006"/>
      <c r="CT54" s="60007"/>
      <c r="CU54" s="879"/>
      <c r="CV54" s="815"/>
      <c r="CX54" s="1012"/>
      <c r="CY54" s="1012" t="str">
        <f>IF(T54="","",T54)</f>
        <v>Добавить наименование признака дифференциации</v>
      </c>
      <c r="CZ54" s="1012"/>
      <c r="DA54" s="1012"/>
      <c r="DB54" s="1667">
        <v>21</v>
      </c>
    </row>
    <row s="50882" customFormat="1" customHeight="1" ht="0">
      <c r="A55" s="1855" t="s">
        <v>370</v>
      </c>
      <c r="B55" s="1855" t="s">
        <v>371</v>
      </c>
      <c r="C55" s="1826"/>
      <c r="D55" s="1826"/>
      <c r="E55" s="2771"/>
      <c r="F55" s="2770"/>
      <c r="G55" s="1826"/>
      <c r="H55" s="1826"/>
      <c r="I55" s="1826"/>
      <c r="J55" s="1826"/>
      <c r="K55" s="1826"/>
      <c r="L55" s="1970"/>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59681"/>
      <c r="AK55" s="59681"/>
      <c r="AL55" s="59681"/>
      <c r="AM55" s="59681"/>
      <c r="AN55" s="59681"/>
      <c r="AO55" s="59681"/>
      <c r="AP55" s="59681"/>
      <c r="AQ55" s="59681"/>
      <c r="AR55" s="59681"/>
      <c r="AS55" s="59681"/>
      <c r="AT55" s="59681"/>
      <c r="AU55" s="59681"/>
      <c r="AV55" s="59681"/>
      <c r="AW55" s="59681"/>
      <c r="AX55" s="59681"/>
      <c r="AY55" s="59681"/>
      <c r="AZ55" s="59681"/>
      <c r="BA55" s="59681"/>
      <c r="BB55" s="59681"/>
      <c r="BC55" s="59681"/>
      <c r="BD55" s="59681"/>
      <c r="BE55" s="59681"/>
      <c r="BF55" s="59681"/>
      <c r="BG55" s="59681"/>
      <c r="BH55" s="59681"/>
      <c r="BI55" s="59681"/>
      <c r="BJ55" s="59681"/>
      <c r="BK55" s="59681"/>
      <c r="BL55" s="59681"/>
      <c r="BM55" s="59681"/>
      <c r="BN55" s="59681"/>
      <c r="BO55" s="59681"/>
      <c r="BP55" s="59681"/>
      <c r="BQ55" s="59681"/>
      <c r="BR55" s="59681"/>
      <c r="BS55" s="59681"/>
      <c r="BT55" s="59681"/>
      <c r="BU55" s="59681"/>
      <c r="BV55" s="59681"/>
      <c r="BW55" s="59681"/>
      <c r="BX55" s="59681"/>
      <c r="BY55" s="59681"/>
      <c r="BZ55" s="59681"/>
      <c r="CA55" s="59681"/>
      <c r="CB55" s="59681"/>
      <c r="CC55" s="59681"/>
      <c r="CD55" s="59681"/>
      <c r="CE55" s="59681"/>
      <c r="CF55" s="59681"/>
      <c r="CG55" s="59681"/>
      <c r="CH55" s="59681"/>
      <c r="CI55" s="59681"/>
      <c r="CJ55" s="59681"/>
      <c r="CK55" s="59681"/>
      <c r="CL55" s="59681"/>
      <c r="CM55" s="59681"/>
      <c r="CN55" s="59681"/>
      <c r="CO55" s="59681"/>
      <c r="CP55" s="59681"/>
      <c r="CQ55" s="59681"/>
      <c r="CR55" s="59681"/>
      <c r="CS55" s="59681"/>
      <c r="CT55" s="59681"/>
      <c r="CU55" s="1836"/>
      <c r="CV55" s="1836"/>
      <c r="CX55" s="1301"/>
      <c r="CY55" s="1301" t="str">
        <f>IF(T55="","",T55)</f>
        <v>Добавить централизованную систему для дифференциации</v>
      </c>
      <c r="CZ55" s="1301"/>
      <c r="DA55" s="1301"/>
      <c r="DB55" s="1030">
        <v>0</v>
      </c>
    </row>
    <row s="50882" customFormat="1" customHeight="1" ht="0">
      <c r="A56" s="1855" t="s">
        <v>370</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59681"/>
      <c r="AK56" s="59681"/>
      <c r="AL56" s="59681"/>
      <c r="AM56" s="59681"/>
      <c r="AN56" s="59681"/>
      <c r="AO56" s="59681"/>
      <c r="AP56" s="59681"/>
      <c r="AQ56" s="59681"/>
      <c r="AR56" s="59681"/>
      <c r="AS56" s="59681"/>
      <c r="AT56" s="59681"/>
      <c r="AU56" s="59681"/>
      <c r="AV56" s="59681"/>
      <c r="AW56" s="59681"/>
      <c r="AX56" s="59681"/>
      <c r="AY56" s="59681"/>
      <c r="AZ56" s="59681"/>
      <c r="BA56" s="59681"/>
      <c r="BB56" s="59681"/>
      <c r="BC56" s="59681"/>
      <c r="BD56" s="59681"/>
      <c r="BE56" s="59681"/>
      <c r="BF56" s="59681"/>
      <c r="BG56" s="59681"/>
      <c r="BH56" s="59681"/>
      <c r="BI56" s="59681"/>
      <c r="BJ56" s="59681"/>
      <c r="BK56" s="59681"/>
      <c r="BL56" s="59681"/>
      <c r="BM56" s="59681"/>
      <c r="BN56" s="59681"/>
      <c r="BO56" s="59681"/>
      <c r="BP56" s="59681"/>
      <c r="BQ56" s="59681"/>
      <c r="BR56" s="59681"/>
      <c r="BS56" s="59681"/>
      <c r="BT56" s="59681"/>
      <c r="BU56" s="59681"/>
      <c r="BV56" s="59681"/>
      <c r="BW56" s="59681"/>
      <c r="BX56" s="59681"/>
      <c r="BY56" s="59681"/>
      <c r="BZ56" s="59681"/>
      <c r="CA56" s="59681"/>
      <c r="CB56" s="59681"/>
      <c r="CC56" s="59681"/>
      <c r="CD56" s="59681"/>
      <c r="CE56" s="59681"/>
      <c r="CF56" s="59681"/>
      <c r="CG56" s="59681"/>
      <c r="CH56" s="59681"/>
      <c r="CI56" s="59681"/>
      <c r="CJ56" s="59681"/>
      <c r="CK56" s="59681"/>
      <c r="CL56" s="59681"/>
      <c r="CM56" s="59681"/>
      <c r="CN56" s="59681"/>
      <c r="CO56" s="59681"/>
      <c r="CP56" s="59681"/>
      <c r="CQ56" s="59681"/>
      <c r="CR56" s="59681"/>
      <c r="CS56" s="59681"/>
      <c r="CT56" s="59681"/>
      <c r="CU56" s="1836"/>
      <c r="CV56" s="1836"/>
      <c r="CX56" s="1012"/>
      <c r="CY56" s="1012" t="str">
        <f>IF(T56="","",T56)</f>
        <v>Добавить территорию для дифференциации</v>
      </c>
      <c r="CZ56" s="1012"/>
      <c r="DA56" s="1012"/>
      <c r="DB56" s="1023">
        <v>0</v>
      </c>
    </row>
    <row s="50882" customFormat="1" customHeight="1" ht="0">
      <c r="A57" s="1826"/>
      <c r="B57" s="1826"/>
      <c r="C57" s="1826"/>
      <c r="D57" s="1826"/>
      <c r="E57" s="1855"/>
      <c r="F57" s="1826"/>
      <c r="G57" s="1826"/>
      <c r="H57" s="1826"/>
      <c r="I57" s="1826"/>
      <c r="J57" s="1826"/>
      <c r="K57" s="1826"/>
      <c r="L57" s="1970"/>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59681"/>
      <c r="AK57" s="59681"/>
      <c r="AL57" s="59681"/>
      <c r="AM57" s="59681"/>
      <c r="AN57" s="59681"/>
      <c r="AO57" s="59681"/>
      <c r="AP57" s="59681"/>
      <c r="AQ57" s="59681"/>
      <c r="AR57" s="59681"/>
      <c r="AS57" s="59681"/>
      <c r="AT57" s="59681"/>
      <c r="AU57" s="59681"/>
      <c r="AV57" s="59681"/>
      <c r="AW57" s="59681"/>
      <c r="AX57" s="59681"/>
      <c r="AY57" s="59681"/>
      <c r="AZ57" s="59681"/>
      <c r="BA57" s="59681"/>
      <c r="BB57" s="59681"/>
      <c r="BC57" s="59681"/>
      <c r="BD57" s="59681"/>
      <c r="BE57" s="59681"/>
      <c r="BF57" s="59681"/>
      <c r="BG57" s="59681"/>
      <c r="BH57" s="59681"/>
      <c r="BI57" s="59681"/>
      <c r="BJ57" s="59681"/>
      <c r="BK57" s="59681"/>
      <c r="BL57" s="59681"/>
      <c r="BM57" s="59681"/>
      <c r="BN57" s="59681"/>
      <c r="BO57" s="59681"/>
      <c r="BP57" s="59681"/>
      <c r="BQ57" s="59681"/>
      <c r="BR57" s="59681"/>
      <c r="BS57" s="59681"/>
      <c r="BT57" s="59681"/>
      <c r="BU57" s="59681"/>
      <c r="BV57" s="59681"/>
      <c r="BW57" s="59681"/>
      <c r="BX57" s="59681"/>
      <c r="BY57" s="59681"/>
      <c r="BZ57" s="59681"/>
      <c r="CA57" s="59681"/>
      <c r="CB57" s="59681"/>
      <c r="CC57" s="59681"/>
      <c r="CD57" s="59681"/>
      <c r="CE57" s="59681"/>
      <c r="CF57" s="59681"/>
      <c r="CG57" s="59681"/>
      <c r="CH57" s="59681"/>
      <c r="CI57" s="59681"/>
      <c r="CJ57" s="59681"/>
      <c r="CK57" s="59681"/>
      <c r="CL57" s="59681"/>
      <c r="CM57" s="59681"/>
      <c r="CN57" s="59681"/>
      <c r="CO57" s="59681"/>
      <c r="CP57" s="59681"/>
      <c r="CQ57" s="59681"/>
      <c r="CR57" s="59681"/>
      <c r="CS57" s="59681"/>
      <c r="CT57" s="59681"/>
      <c r="CU57" s="1836"/>
      <c r="CV57" s="1836"/>
      <c r="CX57" s="1301"/>
      <c r="CY57" s="1301" t="str">
        <f>IF(T57="","",T57)</f>
        <v>Добавить наименование тарифа</v>
      </c>
      <c r="CZ57" s="1301"/>
      <c r="DA57" s="1301"/>
      <c r="DB57" s="1030">
        <v>0</v>
      </c>
    </row>
    <row customHeight="1" ht="11.549999999999999">
      <c r="M58" s="1672"/>
      <c r="N58" s="1672"/>
      <c r="O58" s="1049"/>
      <c r="P58" s="1667"/>
      <c r="Q58" s="1667"/>
      <c r="R58" s="1667"/>
      <c r="S58" s="1667"/>
      <c r="AJ58" s="59471"/>
      <c r="AK58" s="59471"/>
      <c r="AL58" s="59471"/>
      <c r="AM58" s="59471"/>
      <c r="AN58" s="59471"/>
      <c r="AO58" s="59471"/>
      <c r="AP58" s="59471"/>
      <c r="AQ58" s="59471"/>
      <c r="AR58" s="59471"/>
      <c r="AS58" s="59471"/>
      <c r="AT58" s="59471"/>
      <c r="AU58" s="59471"/>
      <c r="AV58" s="59471"/>
      <c r="AW58" s="59471"/>
      <c r="AX58" s="59471"/>
      <c r="AY58" s="59471"/>
      <c r="AZ58" s="59471"/>
      <c r="BA58" s="59471"/>
      <c r="BB58" s="59471"/>
      <c r="BC58" s="59471"/>
      <c r="BD58" s="59471"/>
      <c r="BE58" s="59471"/>
      <c r="BF58" s="59471"/>
      <c r="BG58" s="59471"/>
      <c r="BH58" s="59471"/>
      <c r="BI58" s="59471"/>
      <c r="BJ58" s="59471"/>
      <c r="BK58" s="59471"/>
      <c r="BL58" s="59471"/>
      <c r="BM58" s="59471"/>
      <c r="BN58" s="59471"/>
      <c r="BO58" s="59471"/>
      <c r="BP58" s="59471"/>
      <c r="BQ58" s="59471"/>
      <c r="BR58" s="59471"/>
      <c r="BS58" s="59471"/>
      <c r="BT58" s="59471"/>
      <c r="BU58" s="59471"/>
      <c r="BV58" s="59471"/>
      <c r="BW58" s="59471"/>
      <c r="BX58" s="59471"/>
      <c r="BY58" s="59471"/>
      <c r="BZ58" s="59471"/>
      <c r="CA58" s="59471"/>
      <c r="CB58" s="59471"/>
      <c r="CC58" s="59471"/>
      <c r="CD58" s="59471"/>
      <c r="CE58" s="59471"/>
      <c r="CF58" s="59471"/>
      <c r="CG58" s="59471"/>
      <c r="CH58" s="59471"/>
      <c r="CI58" s="59471"/>
      <c r="CJ58" s="59471"/>
      <c r="CK58" s="59471"/>
      <c r="CL58" s="59471"/>
      <c r="CM58" s="59471"/>
      <c r="CN58" s="59471"/>
      <c r="CO58" s="59471"/>
      <c r="CP58" s="59471"/>
      <c r="CQ58" s="59471"/>
      <c r="CR58" s="59471"/>
      <c r="CS58" s="59471"/>
      <c r="CT58" s="59471"/>
      <c r="CW58" s="1667"/>
      <c r="CX58" s="1667"/>
      <c r="CY58" s="1667"/>
      <c r="CZ58" s="1667"/>
      <c r="DA58" s="1667"/>
      <c r="DB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60008"/>
      <c r="AK59" s="60008"/>
      <c r="AL59" s="60008"/>
      <c r="AM59" s="60008"/>
      <c r="AN59" s="60008"/>
      <c r="AO59" s="60008"/>
      <c r="AP59" s="60008"/>
      <c r="AQ59" s="60008"/>
      <c r="AR59" s="60008"/>
      <c r="AS59" s="60008"/>
      <c r="AT59" s="60008"/>
      <c r="AU59" s="60008"/>
      <c r="AV59" s="60008"/>
      <c r="AW59" s="60008"/>
      <c r="AX59" s="60008"/>
      <c r="AY59" s="60008"/>
      <c r="AZ59" s="60008"/>
      <c r="BA59" s="60008"/>
      <c r="BB59" s="60008"/>
      <c r="BC59" s="60008"/>
      <c r="BD59" s="60008"/>
      <c r="BE59" s="60008"/>
      <c r="BF59" s="60008"/>
      <c r="BG59" s="60008"/>
      <c r="BH59" s="60008"/>
      <c r="BI59" s="60008"/>
      <c r="BJ59" s="60008"/>
      <c r="BK59" s="60008"/>
      <c r="BL59" s="60008"/>
      <c r="BM59" s="60008"/>
      <c r="BN59" s="60008"/>
      <c r="BO59" s="60008"/>
      <c r="BP59" s="60008"/>
      <c r="BQ59" s="60008"/>
      <c r="BR59" s="60008"/>
      <c r="BS59" s="60008"/>
      <c r="BT59" s="60008"/>
      <c r="BU59" s="60008"/>
      <c r="BV59" s="60008"/>
      <c r="BW59" s="60008"/>
      <c r="BX59" s="60008"/>
      <c r="BY59" s="60008"/>
      <c r="BZ59" s="60008"/>
      <c r="CA59" s="60008"/>
      <c r="CB59" s="60008"/>
      <c r="CC59" s="60008"/>
      <c r="CD59" s="60008"/>
      <c r="CE59" s="60008"/>
      <c r="CF59" s="60008"/>
      <c r="CG59" s="60008"/>
      <c r="CH59" s="60008"/>
      <c r="CI59" s="60008"/>
      <c r="CJ59" s="60008"/>
      <c r="CK59" s="60008"/>
      <c r="CL59" s="60008"/>
      <c r="CM59" s="60008"/>
      <c r="CN59" s="60008"/>
      <c r="CO59" s="60008"/>
      <c r="CP59" s="60008"/>
      <c r="CQ59" s="60008"/>
      <c r="CR59" s="60008"/>
      <c r="CS59" s="60008"/>
      <c r="CT59" s="60008"/>
      <c r="CU59" s="2797"/>
      <c r="CV59" s="2797"/>
      <c r="DB59" s="1667">
        <v>14</v>
      </c>
    </row>
    <row customHeight="1" ht="14.699999999999998">
      <c r="O60" s="1049"/>
      <c r="AJ60" s="59471"/>
      <c r="AK60" s="59471"/>
      <c r="AL60" s="59471"/>
      <c r="AM60" s="59471"/>
      <c r="AN60" s="59471"/>
      <c r="AO60" s="59471"/>
      <c r="AP60" s="59471"/>
      <c r="AQ60" s="59471"/>
      <c r="AR60" s="59471"/>
      <c r="AS60" s="59471"/>
      <c r="AT60" s="59471"/>
      <c r="AU60" s="59471"/>
      <c r="AV60" s="59471"/>
      <c r="AW60" s="59471"/>
      <c r="AX60" s="59471"/>
      <c r="AY60" s="59471"/>
      <c r="AZ60" s="59471"/>
      <c r="BA60" s="59471"/>
      <c r="BB60" s="59471"/>
      <c r="BC60" s="59471"/>
      <c r="BD60" s="59471"/>
      <c r="BE60" s="59471"/>
      <c r="BF60" s="59471"/>
      <c r="BG60" s="59471"/>
      <c r="BH60" s="59471"/>
      <c r="BI60" s="59471"/>
      <c r="BJ60" s="59471"/>
      <c r="BK60" s="59471"/>
      <c r="BL60" s="59471"/>
      <c r="BM60" s="59471"/>
      <c r="BN60" s="59471"/>
      <c r="BO60" s="59471"/>
      <c r="BP60" s="59471"/>
      <c r="BQ60" s="59471"/>
      <c r="BR60" s="59471"/>
      <c r="BS60" s="59471"/>
      <c r="BT60" s="59471"/>
      <c r="BU60" s="59471"/>
      <c r="BV60" s="59471"/>
      <c r="BW60" s="59471"/>
      <c r="BX60" s="59471"/>
      <c r="BY60" s="59471"/>
      <c r="BZ60" s="59471"/>
      <c r="CA60" s="59471"/>
      <c r="CB60" s="59471"/>
      <c r="CC60" s="59471"/>
      <c r="CD60" s="59471"/>
      <c r="CE60" s="59471"/>
      <c r="CF60" s="59471"/>
      <c r="CG60" s="59471"/>
      <c r="CH60" s="59471"/>
      <c r="CI60" s="59471"/>
      <c r="CJ60" s="59471"/>
      <c r="CK60" s="59471"/>
      <c r="CL60" s="59471"/>
      <c r="CM60" s="59471"/>
      <c r="CN60" s="59471"/>
      <c r="CO60" s="59471"/>
      <c r="CP60" s="59471"/>
      <c r="CQ60" s="59471"/>
      <c r="CR60" s="59471"/>
      <c r="CS60" s="59471"/>
      <c r="CT60" s="59471"/>
      <c r="DB60" s="1667">
        <v>14</v>
      </c>
    </row>
    <row customHeight="1" ht="14.699999999999998">
      <c r="O61" s="1049"/>
      <c r="S61" s="1765"/>
      <c r="T61" s="2797"/>
      <c r="U61" s="2797"/>
      <c r="V61" s="2797"/>
      <c r="W61" s="2797"/>
      <c r="X61" s="2797"/>
      <c r="Y61" s="2797"/>
      <c r="Z61" s="2797"/>
      <c r="AA61" s="2797"/>
      <c r="AB61" s="2797"/>
      <c r="AC61" s="2797"/>
      <c r="AD61" s="2797"/>
      <c r="AE61" s="2797"/>
      <c r="AF61" s="2797"/>
      <c r="AG61" s="2797"/>
      <c r="AH61" s="2797"/>
      <c r="AI61" s="2797"/>
      <c r="AJ61" s="60008"/>
      <c r="AK61" s="60008"/>
      <c r="AL61" s="60008"/>
      <c r="AM61" s="60008"/>
      <c r="AN61" s="60008"/>
      <c r="AO61" s="60008"/>
      <c r="AP61" s="60008"/>
      <c r="AQ61" s="60008"/>
      <c r="AR61" s="60008"/>
      <c r="AS61" s="60008"/>
      <c r="AT61" s="60008"/>
      <c r="AU61" s="60008"/>
      <c r="AV61" s="60008"/>
      <c r="AW61" s="60008"/>
      <c r="AX61" s="60008"/>
      <c r="AY61" s="60008"/>
      <c r="AZ61" s="60008"/>
      <c r="BA61" s="60008"/>
      <c r="BB61" s="60008"/>
      <c r="BC61" s="60008"/>
      <c r="BD61" s="60008"/>
      <c r="BE61" s="60008"/>
      <c r="BF61" s="60008"/>
      <c r="BG61" s="60008"/>
      <c r="BH61" s="60008"/>
      <c r="BI61" s="60008"/>
      <c r="BJ61" s="60008"/>
      <c r="BK61" s="60008"/>
      <c r="BL61" s="60008"/>
      <c r="BM61" s="60008"/>
      <c r="BN61" s="60008"/>
      <c r="BO61" s="60008"/>
      <c r="BP61" s="60008"/>
      <c r="BQ61" s="60008"/>
      <c r="BR61" s="60008"/>
      <c r="BS61" s="60008"/>
      <c r="BT61" s="60008"/>
      <c r="BU61" s="60008"/>
      <c r="BV61" s="60008"/>
      <c r="BW61" s="60008"/>
      <c r="BX61" s="60008"/>
      <c r="BY61" s="60008"/>
      <c r="BZ61" s="60008"/>
      <c r="CA61" s="60008"/>
      <c r="CB61" s="60008"/>
      <c r="CC61" s="60008"/>
      <c r="CD61" s="60008"/>
      <c r="CE61" s="60008"/>
      <c r="CF61" s="60008"/>
      <c r="CG61" s="60008"/>
      <c r="CH61" s="60008"/>
      <c r="CI61" s="60008"/>
      <c r="CJ61" s="60008"/>
      <c r="CK61" s="60008"/>
      <c r="CL61" s="60008"/>
      <c r="CM61" s="60008"/>
      <c r="CN61" s="60008"/>
      <c r="CO61" s="60008"/>
      <c r="CP61" s="60008"/>
      <c r="CQ61" s="60008"/>
      <c r="CR61" s="60008"/>
      <c r="CS61" s="60008"/>
      <c r="CT61" s="60008"/>
      <c r="CU61" s="2797"/>
      <c r="CV61" s="2797"/>
      <c r="DB61" s="1667">
        <v>14</v>
      </c>
    </row>
    <row customHeight="1" ht="22.5" hidden="1">
      <c r="A62" s="1672" t="s">
        <v>84</v>
      </c>
      <c r="B62" s="1672">
        <v>0</v>
      </c>
      <c r="C62" s="1672">
        <v>0</v>
      </c>
      <c r="D62" s="1672">
        <v>0</v>
      </c>
      <c r="E62" s="1672">
        <v>0</v>
      </c>
      <c r="F62" s="1672">
        <v>0</v>
      </c>
      <c r="G62" s="1672">
        <v>0</v>
      </c>
      <c r="H62" s="1672">
        <v>0</v>
      </c>
      <c r="I62" s="1672">
        <v>0</v>
      </c>
      <c r="J62" s="1672">
        <v>0</v>
      </c>
      <c r="K62" s="1672">
        <v>0</v>
      </c>
      <c r="L62" s="1959">
        <v>0</v>
      </c>
      <c r="M62" s="1874">
        <v>0</v>
      </c>
      <c r="N62" s="1874">
        <v>0</v>
      </c>
      <c r="O62" s="1874">
        <v>0</v>
      </c>
      <c r="P62" s="1958">
        <v>3</v>
      </c>
      <c r="Q62" s="856">
        <v>3</v>
      </c>
      <c r="R62" s="856">
        <v>3</v>
      </c>
      <c r="S62" s="1093">
        <v>12</v>
      </c>
      <c r="T62" s="1667">
        <v>35</v>
      </c>
      <c r="U62" s="1667">
        <v>0</v>
      </c>
      <c r="V62" s="1667">
        <v>0</v>
      </c>
      <c r="W62" s="1667">
        <v>0</v>
      </c>
      <c r="X62" s="1667">
        <v>0</v>
      </c>
      <c r="Y62" s="1667">
        <v>0</v>
      </c>
      <c r="Z62" s="1667">
        <v>0</v>
      </c>
      <c r="AA62" s="1667">
        <v>0</v>
      </c>
      <c r="AB62" s="1667">
        <v>0</v>
      </c>
      <c r="AC62" s="1667">
        <v>24</v>
      </c>
      <c r="AD62" s="1667">
        <v>24</v>
      </c>
      <c r="AE62" s="1667">
        <v>24</v>
      </c>
      <c r="AF62" s="1667">
        <v>11</v>
      </c>
      <c r="AG62" s="1667">
        <v>3</v>
      </c>
      <c r="AH62" s="1667">
        <v>11</v>
      </c>
      <c r="AI62" s="1667">
        <v>0</v>
      </c>
      <c r="AJ62" s="59471">
        <v>0</v>
      </c>
      <c r="AK62" s="59471">
        <v>0</v>
      </c>
      <c r="AL62" s="59471">
        <v>0</v>
      </c>
      <c r="AM62" s="59471">
        <v>0</v>
      </c>
      <c r="AN62" s="59471">
        <v>0</v>
      </c>
      <c r="AO62" s="59471">
        <v>0</v>
      </c>
      <c r="AP62" s="59471">
        <v>0</v>
      </c>
      <c r="AQ62" s="59471">
        <v>0</v>
      </c>
      <c r="AR62" s="59471">
        <v>0</v>
      </c>
      <c r="AS62" s="59471">
        <v>0</v>
      </c>
      <c r="AT62" s="59471">
        <v>0</v>
      </c>
      <c r="AU62" s="59471">
        <v>0</v>
      </c>
      <c r="AV62" s="59471">
        <v>0</v>
      </c>
      <c r="AW62" s="59471">
        <v>0</v>
      </c>
      <c r="AX62" s="59471">
        <v>0</v>
      </c>
      <c r="AY62" s="59471">
        <v>0</v>
      </c>
      <c r="AZ62" s="59471">
        <v>0</v>
      </c>
      <c r="BA62" s="59471">
        <v>0</v>
      </c>
      <c r="BB62" s="59471">
        <v>0</v>
      </c>
      <c r="BC62" s="59471">
        <v>0</v>
      </c>
      <c r="BD62" s="59471">
        <v>0</v>
      </c>
      <c r="BE62" s="59471">
        <v>0</v>
      </c>
      <c r="BF62" s="59471">
        <v>0</v>
      </c>
      <c r="BG62" s="59471">
        <v>0</v>
      </c>
      <c r="BH62" s="59471">
        <v>0</v>
      </c>
      <c r="BI62" s="59471">
        <v>0</v>
      </c>
      <c r="BJ62" s="59471">
        <v>0</v>
      </c>
      <c r="BK62" s="59471">
        <v>0</v>
      </c>
      <c r="BL62" s="59471">
        <v>0</v>
      </c>
      <c r="BM62" s="59471">
        <v>0</v>
      </c>
      <c r="BN62" s="59471">
        <v>0</v>
      </c>
      <c r="BO62" s="59471">
        <v>0</v>
      </c>
      <c r="BP62" s="59471">
        <v>0</v>
      </c>
      <c r="BQ62" s="59471">
        <v>0</v>
      </c>
      <c r="BR62" s="59471">
        <v>0</v>
      </c>
      <c r="BS62" s="59471">
        <v>0</v>
      </c>
      <c r="BT62" s="59471">
        <v>0</v>
      </c>
      <c r="BU62" s="59471">
        <v>0</v>
      </c>
      <c r="BV62" s="59471">
        <v>0</v>
      </c>
      <c r="BW62" s="59471">
        <v>0</v>
      </c>
      <c r="BX62" s="59471">
        <v>0</v>
      </c>
      <c r="BY62" s="59471">
        <v>0</v>
      </c>
      <c r="BZ62" s="59471">
        <v>0</v>
      </c>
      <c r="CA62" s="59471">
        <v>0</v>
      </c>
      <c r="CB62" s="59471">
        <v>0</v>
      </c>
      <c r="CC62" s="59471">
        <v>0</v>
      </c>
      <c r="CD62" s="59471">
        <v>0</v>
      </c>
      <c r="CE62" s="59471">
        <v>0</v>
      </c>
      <c r="CF62" s="59471">
        <v>0</v>
      </c>
      <c r="CG62" s="59471">
        <v>0</v>
      </c>
      <c r="CH62" s="59471">
        <v>0</v>
      </c>
      <c r="CI62" s="59471">
        <v>0</v>
      </c>
      <c r="CJ62" s="59471">
        <v>0</v>
      </c>
      <c r="CK62" s="59471">
        <v>0</v>
      </c>
      <c r="CL62" s="59471">
        <v>0</v>
      </c>
      <c r="CM62" s="59471">
        <v>0</v>
      </c>
      <c r="CN62" s="59471">
        <v>0</v>
      </c>
      <c r="CO62" s="59471">
        <v>0</v>
      </c>
      <c r="CP62" s="59471">
        <v>0</v>
      </c>
      <c r="CQ62" s="59471">
        <v>0</v>
      </c>
      <c r="CR62" s="59471">
        <v>0</v>
      </c>
      <c r="CS62" s="59471">
        <v>0</v>
      </c>
      <c r="CT62" s="59471">
        <v>0</v>
      </c>
      <c r="CU62" s="1667">
        <v>4</v>
      </c>
      <c r="CV62" s="1667">
        <v>115</v>
      </c>
      <c r="CW62" s="1023">
        <v>10</v>
      </c>
      <c r="CX62" s="1023">
        <v>10</v>
      </c>
      <c r="CY62" s="1023">
        <v>10</v>
      </c>
      <c r="CZ62" s="1023">
        <v>10</v>
      </c>
      <c r="DA62" s="1023">
        <v>10</v>
      </c>
      <c r="DB62" s="1667">
        <v>23</v>
      </c>
    </row>
  </sheetData>
  <sheetProtection formatColumns="0" formatRows="0" autoFilter="0" sort="0" insertRows="0" insertColumns="1" deleteRows="0" deleteColumns="0"/>
  <mergeCells count="340">
    <mergeCell ref="E41:E56"/>
    <mergeCell ref="V41:AB41"/>
    <mergeCell ref="AC41:CU41"/>
    <mergeCell ref="F42:F55"/>
    <mergeCell ref="V42:AB42"/>
    <mergeCell ref="AC42:CU42"/>
    <mergeCell ref="G43:G54"/>
    <mergeCell ref="V43:AB43"/>
    <mergeCell ref="AC43:CU43"/>
    <mergeCell ref="H44:H54"/>
    <mergeCell ref="I44:I53"/>
    <mergeCell ref="P44:P53"/>
    <mergeCell ref="V44:AB44"/>
    <mergeCell ref="AC44:CU44"/>
    <mergeCell ref="J45:J48"/>
    <mergeCell ref="Q45:Q48"/>
    <mergeCell ref="V45:AB45"/>
    <mergeCell ref="K46:K47"/>
    <mergeCell ref="Y46:Y47"/>
    <mergeCell ref="E2:E13"/>
    <mergeCell ref="V2:AB2"/>
    <mergeCell ref="AC2:CU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CV7:CV8"/>
    <mergeCell ref="AF15:AF16"/>
    <mergeCell ref="AG15:AG16"/>
    <mergeCell ref="AH15:AH16"/>
    <mergeCell ref="AI15:AI16"/>
    <mergeCell ref="Z46:Z47"/>
    <mergeCell ref="AC45:CU45"/>
    <mergeCell ref="AA46:AA47"/>
    <mergeCell ref="AB46:AB47"/>
    <mergeCell ref="AF46:AF47"/>
    <mergeCell ref="CV46:CV47"/>
    <mergeCell ref="S29:T29"/>
    <mergeCell ref="F3:F12"/>
    <mergeCell ref="V3:AB3"/>
    <mergeCell ref="AC3:CU3"/>
    <mergeCell ref="G4:G11"/>
    <mergeCell ref="V4:AB4"/>
    <mergeCell ref="AC4:CU4"/>
    <mergeCell ref="H5:H11"/>
    <mergeCell ref="I5:I10"/>
    <mergeCell ref="P5:P10"/>
    <mergeCell ref="V5:AB5"/>
    <mergeCell ref="AC5:CU5"/>
    <mergeCell ref="J6:J9"/>
    <mergeCell ref="Q6:Q9"/>
    <mergeCell ref="K7:K8"/>
    <mergeCell ref="Y7:Y8"/>
    <mergeCell ref="V6:AB6"/>
    <mergeCell ref="AC6:CU6"/>
    <mergeCell ref="AC28:AH28"/>
    <mergeCell ref="Z7:Z8"/>
    <mergeCell ref="AA7:AA8"/>
    <mergeCell ref="AB7:AB8"/>
    <mergeCell ref="AF7:AF8"/>
    <mergeCell ref="T59:CV59"/>
    <mergeCell ref="T61:CV61"/>
    <mergeCell ref="V35:AB35"/>
    <mergeCell ref="S32:T32"/>
    <mergeCell ref="V32:AA32"/>
    <mergeCell ref="AC32:AH32"/>
    <mergeCell ref="S33:T33"/>
    <mergeCell ref="V33:AA33"/>
    <mergeCell ref="AC33:AH33"/>
    <mergeCell ref="AC35:AI35"/>
    <mergeCell ref="Z40:AA40"/>
    <mergeCell ref="AG40:AH40"/>
    <mergeCell ref="S36:CU36"/>
    <mergeCell ref="CV36:CV39"/>
    <mergeCell ref="S37:S39"/>
    <mergeCell ref="T37:T39"/>
    <mergeCell ref="V37:AA37"/>
    <mergeCell ref="AB37:AB39"/>
    <mergeCell ref="AG46:AG47"/>
    <mergeCell ref="AH46:AH47"/>
    <mergeCell ref="AI46:AI47"/>
    <mergeCell ref="CU37:CU39"/>
    <mergeCell ref="AC37:AH37"/>
    <mergeCell ref="W38:X38"/>
    <mergeCell ref="AI50:AI51"/>
    <mergeCell ref="AG50:AG51"/>
    <mergeCell ref="AH50:AH51"/>
    <mergeCell ref="CV50:CV51"/>
    <mergeCell ref="J49:J52"/>
    <mergeCell ref="Q49:Q52"/>
    <mergeCell ref="K50:K51"/>
    <mergeCell ref="Y50:Y51"/>
    <mergeCell ref="V49:AB49"/>
    <mergeCell ref="AC49:CU49"/>
    <mergeCell ref="Z50:Z51"/>
    <mergeCell ref="AA50:AA51"/>
    <mergeCell ref="AB50:AB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46:AM47"/>
    <mergeCell ref="AN46:AN47"/>
    <mergeCell ref="AO46:AO47"/>
    <mergeCell ref="AP46:AP47"/>
    <mergeCell ref="AM50:AM51"/>
    <mergeCell ref="AN50:AN51"/>
    <mergeCell ref="AO50:AO51"/>
    <mergeCell ref="AP50:AP51"/>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50:AT51"/>
    <mergeCell ref="AU50:AU51"/>
    <mergeCell ref="AV50:AV51"/>
    <mergeCell ref="AW50:AW51"/>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50:BA51"/>
    <mergeCell ref="BB50:BB51"/>
    <mergeCell ref="BC50:BC51"/>
    <mergeCell ref="BD50:BD51"/>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0:BH51"/>
    <mergeCell ref="BI50:BI51"/>
    <mergeCell ref="BJ50:BJ51"/>
    <mergeCell ref="BK50:BK51"/>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50:BO51"/>
    <mergeCell ref="BP50:BP51"/>
    <mergeCell ref="BQ50:BQ51"/>
    <mergeCell ref="BR50:BR51"/>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50:BV51"/>
    <mergeCell ref="BW50:BW51"/>
    <mergeCell ref="BX50:BX51"/>
    <mergeCell ref="BY50:BY51"/>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50:CC51"/>
    <mergeCell ref="CD50:CD51"/>
    <mergeCell ref="CE50:CE51"/>
    <mergeCell ref="CF50:CF51"/>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K40:CL40"/>
    <mergeCell ref="CJ46:CJ47"/>
    <mergeCell ref="CK46:CK47"/>
    <mergeCell ref="CL46:CL47"/>
    <mergeCell ref="CM46:CM47"/>
    <mergeCell ref="CJ50:CJ51"/>
    <mergeCell ref="CK50:CK51"/>
    <mergeCell ref="CL50:CL51"/>
    <mergeCell ref="CM50:CM51"/>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50:CQ51"/>
    <mergeCell ref="CR50:CR51"/>
    <mergeCell ref="CS50:CS51"/>
    <mergeCell ref="CT50:CT51"/>
  </mergeCells>
  <dataValidations count="8">
    <dataValidation allowBlank="1" sqref="S131120:CV131126 S196656:CV196662 S262192:CV262198 S327728:CV327734 S393264:CV393270 S458800:CV458806 S524336:CV524342 S589872:CV589878 S655408:CV655414 S720944:CV720950 S786480:CV786486 S852016:CV852022 S917552:CV917558 S983088:CV983094 S65584:CV65590"/>
    <dataValidation type="list" allowBlank="1" showInputMessage="1" errorTitle="Ошибка" error="Выберите значение из списка" prompt="Выберите значение из списка" sqref="V983085:CU983085 V65581:CU65581 V131117:CU131117 V196653:CU196653 V262189:CU262189 V327725:CU327725 V393261:CU393261 V458797:CU458797 V524333:CU524333 V589869:CU589869 V655405:CU655405 V720941:CU720941 V786477:CU786477 V852013:CU852013 V917549:CU917549">
      <formula1>kind_of_cons</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X47 AE8 X8 AE47 X51 AE51 AL8 AL47 AL51 AS8 AS47 AS51 AZ8 AZ47 AZ51 BG8 BG47 BG51 BN8 BN47 BN51 BU8 BU47 BU51 CB8 CB47 CB51 CI8 CI47 CI51 CP8 CP47 CP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CV65576:CV65583 CV131112:CV131119 CV196648:CV196655 CV262184:CV262191 CV327720:CV327727 CV393256:CV393263 CV458792:CV458799 CV524328:CV524335 CV589864:CV589871 CV655400:CV655407 CV720936:CV720943 CV786472:CV786479 CV852008:CV852015 CV917544:CV917551 CV983080:CV983087 T46 T7 AC44:AI44 CU44 AC5:AI5 CU5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Y46 AA46 AH7 AF7 Y7 AA7 Y50 AA50 AF50 AH50 AM7 AO7 AM46 AO46 AM50 AO50 AT7 AV7 AT46 AV46 AT50 AV50 BA7 BC7 BA46 BC46 BA50 BC50 BH7 BJ7 BH46 BJ46 BH50 BJ50 BO7 BQ7 BO46 BQ46 BO50 BQ50 BV7 BX7 BV46 BX46 BV50 BX50 CC7 CE7 CC46 CE46 CC50 CE50 CJ7 CL7 CJ46 CL46 CJ50 CL50 CQ7 CS7 CQ46 CS46 CQ50 CS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46 AN46 AP46 AU46 AW46 BB46 BD46 BI46 BK46 BP46 BR46 BW46 BY46 CD46 CF46 CK46 CM46 CR46 CT46 AI524334:CT524334 AI196654:CT196654 AI589870:CT589870 AI655406:CT655406 AI15 AI720942:CT720942 AI786478:CT786478 AI852014:CT852014 AI917550:CT917550 AI983086:CT983086 AI65582:CT65582 AI131118:CT131118 AI458798:CT458798 AI262190:CT262190 AG46 AI7 AN7 AP7 AU7 AW7 BB7 BD7 BI7 BK7 BP7 BR7 BW7 BY7 CD7 CF7 CK7 CM7 CR7 CT7 Z46 AB46 AG15 AG7 Z7 AB7 AI327726:CT327726 AI393262:CT393262 Z50 AB50 AG50 AI50 AN50 AP50 AU50 AW50 BB50 BD50 BI50 BK50 BP50 BR50 BW50 BY50 CD50 CF50 CK50 CM50 CR50 CT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78C57D-0D03-0553-2592-28A232922C1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1.00390625" customWidth="1"/>
    <col min="33" max="33" style="50801" width="3.7109375" customWidth="1"/>
    <col min="34" max="34" style="50801" width="11.00390625" customWidth="1"/>
    <col min="35" max="35" style="50801" width="8.57421875" hidden="1" customWidth="1"/>
    <col min="36" max="36" style="50801" width="4.00390625" customWidth="1"/>
    <col min="37" max="37" style="50801" width="115.00390625" customWidth="1"/>
    <col min="38" max="42" style="50882" width="10.00390625" customWidth="1"/>
    <col min="43" max="43" style="50801"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537</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617</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618</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619</v>
      </c>
      <c r="U5" s="812"/>
      <c r="V5" s="2862"/>
      <c r="W5" s="2863"/>
      <c r="X5" s="2863"/>
      <c r="Y5" s="2863"/>
      <c r="Z5" s="2863"/>
      <c r="AA5" s="2863"/>
      <c r="AB5" s="2864"/>
      <c r="AC5" s="2865"/>
      <c r="AD5" s="2866"/>
      <c r="AE5" s="2866"/>
      <c r="AF5" s="2866"/>
      <c r="AG5" s="2866"/>
      <c r="AH5" s="2866"/>
      <c r="AI5" s="2866"/>
      <c r="AJ5" s="2867"/>
      <c r="AK5" s="1770" t="s">
        <v>620</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545</v>
      </c>
      <c r="P6" s="2769"/>
      <c r="Q6" s="2769">
        <v>1</v>
      </c>
      <c r="R6" s="869"/>
      <c r="S6" s="1969">
        <f>$J6</f>
      </c>
      <c r="T6" s="798" t="s">
        <v>546</v>
      </c>
      <c r="U6" s="812"/>
      <c r="V6" s="2757"/>
      <c r="W6" s="2758"/>
      <c r="X6" s="2758"/>
      <c r="Y6" s="2758"/>
      <c r="Z6" s="2758"/>
      <c r="AA6" s="2758"/>
      <c r="AB6" s="2759"/>
      <c r="AC6" s="2757"/>
      <c r="AD6" s="2758"/>
      <c r="AE6" s="2758"/>
      <c r="AF6" s="2758"/>
      <c r="AG6" s="2758"/>
      <c r="AH6" s="2758"/>
      <c r="AI6" s="2758"/>
      <c r="AJ6" s="2759"/>
      <c r="AK6" s="1819" t="s">
        <v>621</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879"/>
      <c r="AK9" s="1770" t="s">
        <v>623</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551</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50882"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50881" customFormat="1" customHeight="1" ht="22.5" hidden="1">
      <c r="L18" s="1959"/>
      <c r="M18" s="1874"/>
      <c r="N18" s="1874"/>
      <c r="O18" s="1879" t="s">
        <v>554</v>
      </c>
      <c r="P18" s="1874"/>
      <c r="Q18" s="1883"/>
      <c r="R18" s="1883"/>
      <c r="S18" s="1241"/>
      <c r="Y18" s="1879"/>
      <c r="AA18" s="1879"/>
      <c r="AB18" s="1878"/>
      <c r="AF18" s="1879"/>
      <c r="AH18" s="1879"/>
      <c r="AI18" s="1878"/>
      <c r="AL18" s="1023"/>
      <c r="AM18" s="1023"/>
      <c r="AN18" s="1023"/>
      <c r="AO18" s="1023"/>
      <c r="AP18" s="1023"/>
      <c r="AQ18" s="1672">
        <v>0</v>
      </c>
    </row>
    <row s="50881" customFormat="1" customHeight="1" ht="14.25" hidden="1">
      <c r="L19" s="1959"/>
      <c r="M19" s="1874"/>
      <c r="N19" s="1874"/>
      <c r="O19" s="1874"/>
      <c r="P19" s="1874"/>
      <c r="Q19" s="1883"/>
      <c r="R19" s="1883"/>
      <c r="S19" s="1241"/>
      <c r="AB19" s="1878"/>
      <c r="AI19" s="1878"/>
      <c r="AL19" s="1023"/>
      <c r="AM19" s="1023"/>
      <c r="AN19" s="1023"/>
      <c r="AO19" s="1023"/>
      <c r="AP19" s="1023"/>
      <c r="AQ19" s="1672">
        <v>0</v>
      </c>
    </row>
    <row s="50881" customFormat="1" customHeight="1" ht="12" hidden="1">
      <c r="L20" s="1959"/>
      <c r="M20" s="1874"/>
      <c r="N20" s="1874"/>
      <c r="O20" s="1876" t="s">
        <v>555</v>
      </c>
      <c r="P20" s="1874"/>
      <c r="Q20" s="1954"/>
      <c r="R20" s="1954"/>
      <c r="S20" s="1241"/>
      <c r="T20" s="1672" t="s">
        <v>556</v>
      </c>
      <c r="Z20" s="698" t="s">
        <v>557</v>
      </c>
      <c r="AB20" s="698" t="s">
        <v>558</v>
      </c>
      <c r="AC20" s="1672" t="s">
        <v>556</v>
      </c>
      <c r="AG20" s="698" t="s">
        <v>559</v>
      </c>
      <c r="AI20" s="698" t="s">
        <v>558</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838"/>
      <c r="AK28" s="792"/>
      <c r="AL28" s="880"/>
      <c r="AM28" s="880"/>
      <c r="AN28" s="880"/>
      <c r="AO28" s="880"/>
      <c r="AP28" s="880"/>
      <c r="AQ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838"/>
      <c r="AK32" s="792"/>
      <c r="AL32" s="880"/>
      <c r="AM32" s="880"/>
      <c r="AN32" s="880"/>
      <c r="AO32" s="880"/>
      <c r="AP32" s="880"/>
      <c r="AQ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564</v>
      </c>
      <c r="AC34" s="838"/>
      <c r="AD34" s="838"/>
      <c r="AE34" s="838"/>
      <c r="AF34" s="838"/>
      <c r="AG34" s="838"/>
      <c r="AH34" s="838"/>
      <c r="AI34" s="790" t="s">
        <v>564</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2639"/>
      <c r="AK36" s="2639" t="s">
        <v>440</v>
      </c>
      <c r="AQ36" s="1667">
        <v>14</v>
      </c>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2792" t="s">
        <v>569</v>
      </c>
      <c r="AK37" s="2639"/>
      <c r="AQ37" s="1667">
        <v>14</v>
      </c>
    </row>
    <row customHeight="1" ht="35.699999999999996">
      <c r="Q38" s="888"/>
      <c r="R38" s="888"/>
      <c r="S38" s="2785"/>
      <c r="T38" s="2721"/>
      <c r="U38" s="1543"/>
      <c r="V38" s="1964" t="s">
        <v>625</v>
      </c>
      <c r="W38" s="2774" t="s">
        <v>572</v>
      </c>
      <c r="X38" s="2775"/>
      <c r="Y38" s="2774" t="s">
        <v>573</v>
      </c>
      <c r="Z38" s="2781"/>
      <c r="AA38" s="2775"/>
      <c r="AB38" s="2790"/>
      <c r="AC38" s="1964" t="s">
        <v>625</v>
      </c>
      <c r="AD38" s="2774" t="s">
        <v>572</v>
      </c>
      <c r="AE38" s="2775"/>
      <c r="AF38" s="2774" t="s">
        <v>573</v>
      </c>
      <c r="AG38" s="2781"/>
      <c r="AH38" s="2775"/>
      <c r="AI38" s="2790"/>
      <c r="AJ38" s="2793"/>
      <c r="AK38" s="2639"/>
      <c r="AQ38" s="1667">
        <v>34</v>
      </c>
    </row>
    <row customHeight="1" ht="35.699999999999996">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964" t="s">
        <v>628</v>
      </c>
      <c r="W39" s="1734" t="s">
        <v>629</v>
      </c>
      <c r="X39" s="1734" t="s">
        <v>630</v>
      </c>
      <c r="Y39" s="1967" t="s">
        <v>583</v>
      </c>
      <c r="Z39" s="2782" t="s">
        <v>584</v>
      </c>
      <c r="AA39" s="2783"/>
      <c r="AB39" s="2791"/>
      <c r="AC39" s="1964" t="s">
        <v>628</v>
      </c>
      <c r="AD39" s="1734" t="s">
        <v>629</v>
      </c>
      <c r="AE39" s="1734" t="s">
        <v>630</v>
      </c>
      <c r="AF39" s="1967" t="s">
        <v>583</v>
      </c>
      <c r="AG39" s="2782" t="s">
        <v>584</v>
      </c>
      <c r="AH39" s="2783"/>
      <c r="AI39" s="2791"/>
      <c r="AJ39" s="2794"/>
      <c r="AK39" s="2639"/>
      <c r="AQ39" s="1667">
        <v>34</v>
      </c>
    </row>
    <row s="51564"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375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189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375</v>
      </c>
      <c r="B42" s="1875" t="s">
        <v>376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536</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537</v>
      </c>
      <c r="AM42" s="1012"/>
      <c r="AN42" s="1012" t="str">
        <f>IF(T42="","",T42)</f>
        <v>Территория действия тарифа</v>
      </c>
      <c r="AO42" s="1012"/>
      <c r="AP42" s="1012"/>
      <c r="AQ42" s="1667">
        <v>23</v>
      </c>
    </row>
    <row customHeight="1" ht="24">
      <c r="A43" s="1875" t="s">
        <v>375</v>
      </c>
      <c r="B43" s="1875" t="s">
        <v>376</v>
      </c>
      <c r="C43" s="1875" t="s">
        <v>377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617</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618</v>
      </c>
      <c r="AM43" s="1012"/>
      <c r="AN43" s="1012" t="str">
        <f>IF(T43="","",T43)</f>
        <v>Наименование централизованной системы холодного водоснабжения</v>
      </c>
      <c r="AO43" s="1012"/>
      <c r="AP43" s="1012"/>
      <c r="AQ43" s="1667">
        <v>23</v>
      </c>
    </row>
    <row customHeight="1" ht="24">
      <c r="A44" s="1875" t="s">
        <v>375</v>
      </c>
      <c r="B44" s="1875" t="s">
        <v>376</v>
      </c>
      <c r="C44" s="1875" t="s">
        <v>377</v>
      </c>
      <c r="D44" s="1875" t="s">
        <v>635</v>
      </c>
      <c r="E44" s="2771"/>
      <c r="F44" s="2771"/>
      <c r="G44" s="2771"/>
      <c r="H44" s="2771"/>
      <c r="I44" s="2768" t="str">
        <f>S43&amp;".1"</f>
        <v>...1</v>
      </c>
      <c r="J44" s="1875"/>
      <c r="K44" s="1875"/>
      <c r="L44" s="1876"/>
      <c r="P44" s="2769">
        <v>1</v>
      </c>
      <c r="Q44" s="1962"/>
      <c r="R44" s="868"/>
      <c r="S44" s="1969" t="str">
        <f>$I44</f>
        <v>...1</v>
      </c>
      <c r="T44" s="797" t="s">
        <v>619</v>
      </c>
      <c r="U44" s="812"/>
      <c r="V44" s="2862"/>
      <c r="W44" s="2863"/>
      <c r="X44" s="2863"/>
      <c r="Y44" s="2863"/>
      <c r="Z44" s="2863"/>
      <c r="AA44" s="2863"/>
      <c r="AB44" s="2864"/>
      <c r="AC44" s="2865"/>
      <c r="AD44" s="2866"/>
      <c r="AE44" s="2866"/>
      <c r="AF44" s="2866"/>
      <c r="AG44" s="2866"/>
      <c r="AH44" s="2866"/>
      <c r="AI44" s="2866"/>
      <c r="AJ44" s="2867"/>
      <c r="AK44" s="1770" t="s">
        <v>620</v>
      </c>
      <c r="AM44" s="1012"/>
      <c r="AN44" s="1012" t="str">
        <f>IF(T44="","",T44)</f>
        <v>Наименование признака дифференциации</v>
      </c>
      <c r="AO44" s="1012"/>
      <c r="AP44" s="1012"/>
      <c r="AQ44" s="1667">
        <v>23</v>
      </c>
    </row>
    <row customHeight="1" ht="24">
      <c r="A45" s="1875" t="s">
        <v>375</v>
      </c>
      <c r="B45" s="1875" t="s">
        <v>376</v>
      </c>
      <c r="C45" s="1875" t="s">
        <v>377</v>
      </c>
      <c r="D45" s="1875" t="s">
        <v>635</v>
      </c>
      <c r="E45" s="2771"/>
      <c r="F45" s="2771"/>
      <c r="G45" s="2771"/>
      <c r="H45" s="2771"/>
      <c r="I45" s="2798"/>
      <c r="J45" s="2768" t="str">
        <f>I44&amp;".1"</f>
        <v>...1.1</v>
      </c>
      <c r="K45" s="1875"/>
      <c r="L45" s="1876" t="s">
        <v>545</v>
      </c>
      <c r="P45" s="2769"/>
      <c r="Q45" s="2769">
        <v>1</v>
      </c>
      <c r="R45" s="869"/>
      <c r="S45" s="1969" t="str">
        <f>$J45</f>
        <v>...1.1</v>
      </c>
      <c r="T45" s="798" t="s">
        <v>546</v>
      </c>
      <c r="U45" s="812"/>
      <c r="V45" s="2757"/>
      <c r="W45" s="2758"/>
      <c r="X45" s="2758"/>
      <c r="Y45" s="2758"/>
      <c r="Z45" s="2758"/>
      <c r="AA45" s="2758"/>
      <c r="AB45" s="2759"/>
      <c r="AC45" s="2757"/>
      <c r="AD45" s="2758"/>
      <c r="AE45" s="2758"/>
      <c r="AF45" s="2758"/>
      <c r="AG45" s="2758"/>
      <c r="AH45" s="2758"/>
      <c r="AI45" s="2758"/>
      <c r="AJ45" s="2759"/>
      <c r="AK45" s="1819" t="s">
        <v>621</v>
      </c>
      <c r="AM45" s="1012"/>
      <c r="AN45" s="1012" t="str">
        <f>IF(T45="","",T45)</f>
        <v>Группа потребителей</v>
      </c>
      <c r="AO45" s="1012"/>
      <c r="AP45" s="1012"/>
      <c r="AQ45" s="1667">
        <v>23</v>
      </c>
    </row>
    <row customHeight="1" ht="24">
      <c r="A46" s="1875" t="s">
        <v>375</v>
      </c>
      <c r="B46" s="1875" t="s">
        <v>376</v>
      </c>
      <c r="C46" s="1875" t="s">
        <v>377</v>
      </c>
      <c r="D46" s="1875" t="s">
        <v>635</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63</v>
      </c>
      <c r="AA46" s="2777"/>
      <c r="AB46" s="2619" t="s">
        <v>63</v>
      </c>
      <c r="AC46" s="1263"/>
      <c r="AD46" s="1263"/>
      <c r="AE46" s="1769"/>
      <c r="AF46" s="2777"/>
      <c r="AG46" s="2619" t="s">
        <v>63</v>
      </c>
      <c r="AH46" s="2799"/>
      <c r="AI46" s="2619" t="s">
        <v>63</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375</v>
      </c>
      <c r="B47" s="1875" t="s">
        <v>376</v>
      </c>
      <c r="C47" s="1875" t="s">
        <v>377</v>
      </c>
      <c r="D47" s="1875" t="s">
        <v>635</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375</v>
      </c>
      <c r="B48" s="1875" t="s">
        <v>376</v>
      </c>
      <c r="C48" s="1875" t="s">
        <v>377</v>
      </c>
      <c r="D48" s="1875" t="s">
        <v>635</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879"/>
      <c r="AK48" s="1770" t="s">
        <v>623</v>
      </c>
      <c r="AM48" s="1012"/>
      <c r="AN48" s="1012" t="str">
        <f>IF(T48="","",T48)</f>
        <v>Добавить значение признака дифференциации</v>
      </c>
      <c r="AO48" s="1012"/>
      <c r="AP48" s="1012"/>
      <c r="AQ48" s="1667">
        <v>20</v>
      </c>
    </row>
    <row customHeight="1" ht="22.049999999999997">
      <c r="A49" s="1875" t="s">
        <v>375</v>
      </c>
      <c r="B49" s="1875" t="s">
        <v>376</v>
      </c>
      <c r="C49" s="1875" t="s">
        <v>377</v>
      </c>
      <c r="D49" s="1875" t="s">
        <v>635</v>
      </c>
      <c r="E49" s="2771"/>
      <c r="F49" s="2771"/>
      <c r="G49" s="2771"/>
      <c r="H49" s="2771"/>
      <c r="I49" s="2768"/>
      <c r="J49" s="1875"/>
      <c r="K49" s="1875"/>
      <c r="L49" s="1876"/>
      <c r="P49" s="2769"/>
      <c r="Q49" s="1962"/>
      <c r="R49" s="868"/>
      <c r="S49" s="1790"/>
      <c r="T49" s="877" t="s">
        <v>551</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375</v>
      </c>
      <c r="B50" s="1875" t="s">
        <v>376</v>
      </c>
      <c r="C50" s="1875" t="s">
        <v>377</v>
      </c>
      <c r="D50" s="1875" t="s">
        <v>635</v>
      </c>
      <c r="E50" s="2771"/>
      <c r="F50" s="2771"/>
      <c r="G50" s="2771"/>
      <c r="H50" s="2770"/>
      <c r="I50" s="1875"/>
      <c r="J50" s="1875"/>
      <c r="K50" s="1875"/>
      <c r="L50" s="1876"/>
      <c r="M50" s="1877"/>
      <c r="N50" s="1877"/>
      <c r="O50" s="1049"/>
      <c r="P50" s="872"/>
      <c r="Q50" s="887"/>
      <c r="R50" s="867"/>
      <c r="S50" s="1790"/>
      <c r="T50" s="884" t="s">
        <v>624</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50882" customFormat="1" customHeight="1" ht="0">
      <c r="A51" s="1855" t="s">
        <v>375</v>
      </c>
      <c r="B51" s="1855" t="s">
        <v>376</v>
      </c>
      <c r="C51" s="1826"/>
      <c r="D51" s="1826"/>
      <c r="E51" s="2771"/>
      <c r="F51" s="2770"/>
      <c r="G51" s="1826"/>
      <c r="H51" s="1826"/>
      <c r="I51" s="1826"/>
      <c r="J51" s="1826"/>
      <c r="K51" s="1826"/>
      <c r="L51" s="1970"/>
      <c r="M51" s="1833"/>
      <c r="N51" s="1833"/>
      <c r="P51" s="1828"/>
      <c r="Q51" s="1829"/>
      <c r="R51" s="1828"/>
      <c r="S51" s="1834"/>
      <c r="T51" s="1837" t="s">
        <v>290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50882" customFormat="1" customHeight="1" ht="0">
      <c r="A52" s="1855" t="s">
        <v>375</v>
      </c>
      <c r="B52" s="1855"/>
      <c r="C52" s="1855"/>
      <c r="D52" s="1855"/>
      <c r="E52" s="2770"/>
      <c r="F52" s="1855"/>
      <c r="G52" s="1855"/>
      <c r="H52" s="1855"/>
      <c r="I52" s="1855"/>
      <c r="J52" s="1855"/>
      <c r="K52" s="1855"/>
      <c r="L52" s="1858"/>
      <c r="M52" s="1833"/>
      <c r="N52" s="1833"/>
      <c r="O52" s="1030"/>
      <c r="P52" s="892"/>
      <c r="Q52" s="1856"/>
      <c r="R52" s="892"/>
      <c r="S52" s="1834"/>
      <c r="T52" s="1837" t="s">
        <v>365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50882"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366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F06899-8FCB-5D18-0329-14584AFB5AF9}" mc:Ignorable="x14ac xr xr2 xr3">
  <sheetPr>
    <tabColor theme="6" tint="0.4"/>
  </sheetPr>
  <dimension ref="A1:AX76"/>
  <sheetViews>
    <sheetView topLeftCell="A1" showGridLines="0" zoomScale="90" workbookViewId="0">
      <selection activeCell="AJ76" sqref="AJ76"/>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1.00390625" customWidth="1"/>
    <col min="33" max="33" style="50801" width="3.7109375" customWidth="1"/>
    <col min="34" max="34" style="50801" width="11.00390625" customWidth="1"/>
    <col min="35" max="35" style="50801" width="8.57421875" customWidth="1"/>
    <col min="42" max="42" style="60148" width="10.57421875" hidden="1"/>
    <col min="43" max="43" style="50801" width="4.00390625" customWidth="1"/>
    <col min="44" max="44" style="50801" width="115.00390625" customWidth="1"/>
    <col min="45" max="49" style="50882" width="10.00390625" customWidth="1"/>
    <col min="50" max="50" style="50801" width="10.57421875" hidden="1"/>
  </cols>
  <sheetData>
    <row customHeight="1" ht="22.5" hidden="1">
      <c r="X1" s="839"/>
      <c r="Y1" s="839"/>
      <c r="AE1" s="839"/>
      <c r="AF1" s="839"/>
      <c r="AJ1" s="4347"/>
      <c r="AK1" s="4347"/>
      <c r="AL1" s="4347"/>
      <c r="AM1" s="4347"/>
      <c r="AN1" s="4347"/>
      <c r="AO1" s="4347"/>
      <c r="AP1" s="4347"/>
      <c r="AX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4348"/>
      <c r="AK2" s="4349"/>
      <c r="AL2" s="4349"/>
      <c r="AM2" s="4349"/>
      <c r="AN2" s="4349"/>
      <c r="AO2" s="4349"/>
      <c r="AP2" s="4350"/>
      <c r="AQ2" s="2756"/>
      <c r="AR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1012"/>
      <c r="AU2" s="1012" t="str">
        <f>IF(T2="","",T2)</f>
        <v>Наименование тарифа</v>
      </c>
      <c r="AV2" s="1012"/>
      <c r="AW2" s="1012"/>
      <c r="AX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4348"/>
      <c r="AK3" s="4349"/>
      <c r="AL3" s="4349"/>
      <c r="AM3" s="4349"/>
      <c r="AN3" s="4349"/>
      <c r="AO3" s="4349"/>
      <c r="AP3" s="4350"/>
      <c r="AQ3" s="2756"/>
      <c r="AR3" s="1770" t="s">
        <v>537</v>
      </c>
      <c r="AT3" s="1012"/>
      <c r="AU3" s="1012" t="str">
        <f>IF(T3="","",T3)</f>
        <v>Территория действия тарифа</v>
      </c>
      <c r="AV3" s="1012"/>
      <c r="AW3" s="1012"/>
      <c r="AX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617</v>
      </c>
      <c r="U4" s="812"/>
      <c r="V4" s="2754"/>
      <c r="W4" s="2755"/>
      <c r="X4" s="2755"/>
      <c r="Y4" s="2755"/>
      <c r="Z4" s="2755"/>
      <c r="AA4" s="2755"/>
      <c r="AB4" s="2756"/>
      <c r="AC4" s="2754">
        <f>INDEX(PT_DIFFERENTIATION_CS,MATCH(C4,PT_DIFFERENTIATION_CS_ID,0))</f>
      </c>
      <c r="AD4" s="2755"/>
      <c r="AE4" s="2755"/>
      <c r="AF4" s="2755"/>
      <c r="AG4" s="2755"/>
      <c r="AH4" s="2755"/>
      <c r="AI4" s="2755"/>
      <c r="AJ4" s="4348"/>
      <c r="AK4" s="4349"/>
      <c r="AL4" s="4349"/>
      <c r="AM4" s="4349"/>
      <c r="AN4" s="4349"/>
      <c r="AO4" s="4349"/>
      <c r="AP4" s="4350"/>
      <c r="AQ4" s="2756"/>
      <c r="AR4" s="1770" t="s">
        <v>618</v>
      </c>
      <c r="AT4" s="1012"/>
      <c r="AU4" s="1012" t="str">
        <f>IF(T4="","",T4)</f>
        <v>Наименование централизованной системы холодного водоснабжения</v>
      </c>
      <c r="AV4" s="1012"/>
      <c r="AW4" s="1012"/>
      <c r="AX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619</v>
      </c>
      <c r="U5" s="812"/>
      <c r="V5" s="2862"/>
      <c r="W5" s="2863"/>
      <c r="X5" s="2863"/>
      <c r="Y5" s="2863"/>
      <c r="Z5" s="2863"/>
      <c r="AA5" s="2863"/>
      <c r="AB5" s="2864"/>
      <c r="AC5" s="2865"/>
      <c r="AD5" s="2866"/>
      <c r="AE5" s="2866"/>
      <c r="AF5" s="2866"/>
      <c r="AG5" s="2866"/>
      <c r="AH5" s="2866"/>
      <c r="AI5" s="2866"/>
      <c r="AJ5" s="4351"/>
      <c r="AK5" s="4352"/>
      <c r="AL5" s="4352"/>
      <c r="AM5" s="4352"/>
      <c r="AN5" s="4352"/>
      <c r="AO5" s="4352"/>
      <c r="AP5" s="4353"/>
      <c r="AQ5" s="2867"/>
      <c r="AR5" s="1770" t="s">
        <v>620</v>
      </c>
      <c r="AT5" s="1012"/>
      <c r="AU5" s="1012" t="str">
        <f>IF(T5="","",T5)</f>
        <v>Наименование признака дифференциации</v>
      </c>
      <c r="AV5" s="1012"/>
      <c r="AW5" s="1012"/>
      <c r="AX5" s="1667">
        <v>0</v>
      </c>
    </row>
    <row customHeight="1" ht="23.25" hidden="1">
      <c r="A6" s="1875"/>
      <c r="B6" s="1875"/>
      <c r="C6" s="1875"/>
      <c r="D6" s="1875"/>
      <c r="E6" s="2771"/>
      <c r="F6" s="2771"/>
      <c r="G6" s="2771"/>
      <c r="H6" s="2771"/>
      <c r="I6" s="2798"/>
      <c r="J6" s="2768">
        <f>I5&amp;".1"</f>
      </c>
      <c r="K6" s="1875"/>
      <c r="L6" s="1876" t="s">
        <v>545</v>
      </c>
      <c r="P6" s="2769"/>
      <c r="Q6" s="2769">
        <v>1</v>
      </c>
      <c r="R6" s="869"/>
      <c r="S6" s="1969">
        <f>$J6</f>
      </c>
      <c r="T6" s="798" t="s">
        <v>546</v>
      </c>
      <c r="U6" s="812"/>
      <c r="V6" s="2757"/>
      <c r="W6" s="2758"/>
      <c r="X6" s="2758"/>
      <c r="Y6" s="2758"/>
      <c r="Z6" s="2758"/>
      <c r="AA6" s="2758"/>
      <c r="AB6" s="2759"/>
      <c r="AC6" s="2757"/>
      <c r="AD6" s="2758"/>
      <c r="AE6" s="2758"/>
      <c r="AF6" s="2758"/>
      <c r="AG6" s="2758"/>
      <c r="AH6" s="2758"/>
      <c r="AI6" s="2758"/>
      <c r="AJ6" s="4354"/>
      <c r="AK6" s="4355"/>
      <c r="AL6" s="4355"/>
      <c r="AM6" s="4355"/>
      <c r="AN6" s="4355"/>
      <c r="AO6" s="4355"/>
      <c r="AP6" s="4356"/>
      <c r="AQ6" s="2759"/>
      <c r="AR6" s="1819" t="s">
        <v>621</v>
      </c>
      <c r="AT6" s="1012"/>
      <c r="AU6" s="1012" t="str">
        <f>IF(T6="","",T6)</f>
        <v>Группа потребителей</v>
      </c>
      <c r="AV6" s="1012"/>
      <c r="AW6" s="1012"/>
      <c r="AX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4357"/>
      <c r="AK7" s="4357"/>
      <c r="AL7" s="4358"/>
      <c r="AM7" s="4359"/>
      <c r="AN7" s="4360" t="s">
        <v>63</v>
      </c>
      <c r="AO7" s="4359"/>
      <c r="AP7" s="4360" t="s">
        <v>63</v>
      </c>
      <c r="AQ7" s="1950"/>
      <c r="AR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1023">
        <f>STRCHECKDATE(V8:AQ8)</f>
      </c>
      <c r="AT7" s="1012"/>
      <c r="AU7" s="1012" t="str">
        <f>IF(T7="","",T7)</f>
        <v/>
      </c>
      <c r="AV7" s="1012"/>
      <c r="AW7" s="1012"/>
      <c r="AX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4361"/>
      <c r="AK8" s="4361"/>
      <c r="AL8" s="4362" t="str">
        <f>AM7&amp;"-"&amp;AO7</f>
        <v>-</v>
      </c>
      <c r="AM8" s="4363"/>
      <c r="AN8" s="4360"/>
      <c r="AO8" s="4363"/>
      <c r="AP8" s="4360"/>
      <c r="AQ8" s="1951"/>
      <c r="AR8" s="2861"/>
      <c r="AT8" s="1012"/>
      <c r="AU8" s="1012" t="str">
        <f>IF(T8="","",T8)</f>
        <v/>
      </c>
      <c r="AV8" s="1012"/>
      <c r="AW8" s="1012"/>
      <c r="AX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4364"/>
      <c r="AK9" s="4365"/>
      <c r="AL9" s="4366"/>
      <c r="AM9" s="4367"/>
      <c r="AN9" s="4368"/>
      <c r="AO9" s="4369"/>
      <c r="AP9" s="4370"/>
      <c r="AQ9" s="879"/>
      <c r="AR9" s="1770" t="s">
        <v>623</v>
      </c>
      <c r="AT9" s="1012"/>
      <c r="AU9" s="1012" t="str">
        <f>IF(T9="","",T9)</f>
        <v>Добавить значение признака дифференциации</v>
      </c>
      <c r="AV9" s="1012"/>
      <c r="AW9" s="1012"/>
      <c r="AX9" s="1667">
        <v>0</v>
      </c>
    </row>
    <row customHeight="1" ht="21" hidden="1">
      <c r="A10" s="1875"/>
      <c r="B10" s="1875"/>
      <c r="C10" s="1875"/>
      <c r="D10" s="1875"/>
      <c r="E10" s="2771"/>
      <c r="F10" s="2771"/>
      <c r="G10" s="2771"/>
      <c r="H10" s="2771"/>
      <c r="I10" s="2768"/>
      <c r="J10" s="1875"/>
      <c r="K10" s="1875"/>
      <c r="L10" s="1876"/>
      <c r="P10" s="2769"/>
      <c r="Q10" s="1962"/>
      <c r="R10" s="868"/>
      <c r="S10" s="1790"/>
      <c r="T10" s="877" t="s">
        <v>551</v>
      </c>
      <c r="U10" s="879"/>
      <c r="V10" s="879"/>
      <c r="W10" s="879"/>
      <c r="X10" s="879"/>
      <c r="Y10" s="879"/>
      <c r="Z10" s="879"/>
      <c r="AA10" s="879"/>
      <c r="AB10" s="878"/>
      <c r="AC10" s="879"/>
      <c r="AD10" s="879"/>
      <c r="AE10" s="879"/>
      <c r="AF10" s="879"/>
      <c r="AG10" s="879"/>
      <c r="AH10" s="879"/>
      <c r="AI10" s="878"/>
      <c r="AJ10" s="4371"/>
      <c r="AK10" s="4372"/>
      <c r="AL10" s="4373"/>
      <c r="AM10" s="4374"/>
      <c r="AN10" s="4375"/>
      <c r="AO10" s="4376"/>
      <c r="AP10" s="4377"/>
      <c r="AQ10" s="879"/>
      <c r="AR10" s="1952"/>
      <c r="AT10" s="1012"/>
      <c r="AU10" s="1012" t="str">
        <f>IF(T10="","",T10)</f>
        <v>Добавить группу потребителей</v>
      </c>
      <c r="AV10" s="1012"/>
      <c r="AW10" s="1012"/>
      <c r="AX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4378"/>
      <c r="AK11" s="4379"/>
      <c r="AL11" s="4380"/>
      <c r="AM11" s="4381"/>
      <c r="AN11" s="4382"/>
      <c r="AO11" s="4383"/>
      <c r="AP11" s="4384"/>
      <c r="AQ11" s="879"/>
      <c r="AR11" s="815"/>
      <c r="AT11" s="1012"/>
      <c r="AU11" s="1012" t="str">
        <f>IF(T11="","",T11)</f>
        <v>Добавить наименование признака дифференциации</v>
      </c>
      <c r="AV11" s="1012"/>
      <c r="AW11" s="1012"/>
      <c r="AX11" s="1667">
        <v>0</v>
      </c>
    </row>
    <row s="50882"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4385"/>
      <c r="AK12" s="4385"/>
      <c r="AL12" s="4385"/>
      <c r="AM12" s="4385"/>
      <c r="AN12" s="4385"/>
      <c r="AO12" s="4385"/>
      <c r="AP12" s="4385"/>
      <c r="AQ12" s="1836"/>
      <c r="AR12" s="1836"/>
      <c r="AT12" s="1301"/>
      <c r="AU12" s="1301" t="str">
        <f>IF(T12="","",T12)</f>
        <v>Добавить централизованную систему для дифференциации</v>
      </c>
      <c r="AV12" s="1301"/>
      <c r="AW12" s="1301"/>
      <c r="AX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4385"/>
      <c r="AK13" s="4385"/>
      <c r="AL13" s="4385"/>
      <c r="AM13" s="4385"/>
      <c r="AN13" s="4385"/>
      <c r="AO13" s="4385"/>
      <c r="AP13" s="4385"/>
      <c r="AQ13" s="1836"/>
      <c r="AR13" s="1836"/>
      <c r="AT13" s="1012"/>
      <c r="AU13" s="1012" t="str">
        <f>IF(T13="","",T13)</f>
        <v>Добавить территорию для дифференциации</v>
      </c>
      <c r="AV13" s="1012"/>
      <c r="AW13" s="1012"/>
      <c r="AX13" s="1023">
        <v>0</v>
      </c>
    </row>
    <row customHeight="1" ht="14.25" hidden="1">
      <c r="AB14" s="839"/>
      <c r="AI14" s="839"/>
      <c r="AJ14" s="4347"/>
      <c r="AK14" s="4347"/>
      <c r="AL14" s="4347"/>
      <c r="AM14" s="4347"/>
      <c r="AN14" s="4347"/>
      <c r="AO14" s="4347"/>
      <c r="AP14" s="4347"/>
      <c r="AX14" s="1667">
        <v>0</v>
      </c>
    </row>
    <row customHeight="1" ht="14.25" hidden="1">
      <c r="AC15" s="1872"/>
      <c r="AD15" s="1872"/>
      <c r="AE15" s="1873"/>
      <c r="AF15" s="2779"/>
      <c r="AG15" s="2780" t="s">
        <v>63</v>
      </c>
      <c r="AH15" s="2779"/>
      <c r="AI15" s="2780" t="s">
        <v>63</v>
      </c>
      <c r="AJ15" s="4347"/>
      <c r="AK15" s="4347"/>
      <c r="AL15" s="4347"/>
      <c r="AM15" s="4347"/>
      <c r="AN15" s="4347"/>
      <c r="AO15" s="4347"/>
      <c r="AP15" s="4347"/>
      <c r="AX15" s="1667">
        <v>0</v>
      </c>
    </row>
    <row customHeight="1" ht="14.25" hidden="1">
      <c r="AC16" s="1872"/>
      <c r="AD16" s="1872"/>
      <c r="AE16" s="840" t="str">
        <f>AF15&amp;"-"&amp;AH15</f>
        <v>-</v>
      </c>
      <c r="AF16" s="2780"/>
      <c r="AG16" s="2780"/>
      <c r="AH16" s="2780"/>
      <c r="AI16" s="2780"/>
      <c r="AJ16" s="4347"/>
      <c r="AK16" s="4347"/>
      <c r="AL16" s="4347"/>
      <c r="AM16" s="4347"/>
      <c r="AN16" s="4347"/>
      <c r="AO16" s="4347"/>
      <c r="AP16" s="4347"/>
      <c r="AX16" s="1667">
        <v>0</v>
      </c>
    </row>
    <row customHeight="1" ht="14.25" hidden="1">
      <c r="AI17" s="839"/>
      <c r="AJ17" s="4347"/>
      <c r="AK17" s="4347"/>
      <c r="AL17" s="4347"/>
      <c r="AM17" s="4347"/>
      <c r="AN17" s="4347"/>
      <c r="AO17" s="4347"/>
      <c r="AP17" s="4347"/>
      <c r="AX17" s="1667">
        <v>0</v>
      </c>
    </row>
    <row s="50881" customFormat="1" customHeight="1" ht="22.5" hidden="1">
      <c r="L18" s="1959"/>
      <c r="M18" s="1874"/>
      <c r="N18" s="1874"/>
      <c r="O18" s="1879" t="s">
        <v>554</v>
      </c>
      <c r="P18" s="1874"/>
      <c r="Q18" s="1883"/>
      <c r="R18" s="1883"/>
      <c r="S18" s="1241"/>
      <c r="Y18" s="1879"/>
      <c r="AA18" s="1879"/>
      <c r="AB18" s="1878"/>
      <c r="AF18" s="1879"/>
      <c r="AH18" s="1879"/>
      <c r="AI18" s="1878"/>
      <c r="AJ18" s="4386"/>
      <c r="AK18" s="4386"/>
      <c r="AL18" s="4386"/>
      <c r="AM18" s="4387"/>
      <c r="AN18" s="4386"/>
      <c r="AO18" s="4387"/>
      <c r="AP18" s="4386"/>
      <c r="AS18" s="1023"/>
      <c r="AT18" s="1023"/>
      <c r="AU18" s="1023"/>
      <c r="AV18" s="1023"/>
      <c r="AW18" s="1023"/>
      <c r="AX18" s="1672">
        <v>0</v>
      </c>
    </row>
    <row s="50881" customFormat="1" customHeight="1" ht="14.25" hidden="1">
      <c r="L19" s="1959"/>
      <c r="M19" s="1874"/>
      <c r="N19" s="1874"/>
      <c r="O19" s="1874"/>
      <c r="P19" s="1874"/>
      <c r="Q19" s="1883"/>
      <c r="R19" s="1883"/>
      <c r="S19" s="1241"/>
      <c r="AB19" s="1878"/>
      <c r="AI19" s="1878"/>
      <c r="AJ19" s="4386"/>
      <c r="AK19" s="4386"/>
      <c r="AL19" s="4386"/>
      <c r="AM19" s="4386"/>
      <c r="AN19" s="4386"/>
      <c r="AO19" s="4386"/>
      <c r="AP19" s="4386"/>
      <c r="AS19" s="1023"/>
      <c r="AT19" s="1023"/>
      <c r="AU19" s="1023"/>
      <c r="AV19" s="1023"/>
      <c r="AW19" s="1023"/>
      <c r="AX19" s="1672">
        <v>0</v>
      </c>
    </row>
    <row s="50881" customFormat="1" customHeight="1" ht="12" hidden="1">
      <c r="L20" s="1959"/>
      <c r="M20" s="1874"/>
      <c r="N20" s="1874"/>
      <c r="O20" s="1876" t="s">
        <v>555</v>
      </c>
      <c r="P20" s="1874"/>
      <c r="Q20" s="1954"/>
      <c r="R20" s="1954"/>
      <c r="S20" s="1241"/>
      <c r="T20" s="1672" t="s">
        <v>556</v>
      </c>
      <c r="Z20" s="698" t="s">
        <v>557</v>
      </c>
      <c r="AB20" s="698" t="s">
        <v>558</v>
      </c>
      <c r="AC20" s="1672" t="s">
        <v>556</v>
      </c>
      <c r="AG20" s="698" t="s">
        <v>559</v>
      </c>
      <c r="AI20" s="698" t="s">
        <v>558</v>
      </c>
      <c r="AJ20" s="4386"/>
      <c r="AK20" s="4386"/>
      <c r="AL20" s="4386"/>
      <c r="AM20" s="4386"/>
      <c r="AN20" s="4388" t="s">
        <v>557</v>
      </c>
      <c r="AO20" s="4386"/>
      <c r="AP20" s="4388" t="s">
        <v>558</v>
      </c>
      <c r="AX20" s="1672">
        <v>0</v>
      </c>
    </row>
    <row customHeight="1" ht="14.25" hidden="1">
      <c r="O21" s="1876"/>
      <c r="AJ21" s="4347"/>
      <c r="AK21" s="4347"/>
      <c r="AL21" s="4347"/>
      <c r="AM21" s="4347"/>
      <c r="AN21" s="4347"/>
      <c r="AO21" s="4347"/>
      <c r="AP21" s="4347"/>
      <c r="AX21" s="1667">
        <v>0</v>
      </c>
    </row>
    <row customHeight="1" ht="14.25" hidden="1">
      <c r="O22" s="1876"/>
      <c r="AJ22" s="4347"/>
      <c r="AK22" s="4347"/>
      <c r="AL22" s="4347"/>
      <c r="AM22" s="4347"/>
      <c r="AN22" s="4347"/>
      <c r="AO22" s="4347"/>
      <c r="AP22" s="4347"/>
      <c r="AX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J23" s="4347"/>
      <c r="AK23" s="4347"/>
      <c r="AL23" s="4347"/>
      <c r="AM23" s="4347"/>
      <c r="AN23" s="4347"/>
      <c r="AO23" s="4347"/>
      <c r="AP23" s="4347"/>
      <c r="AX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J24" s="4389"/>
      <c r="AK24" s="4389"/>
      <c r="AL24" s="4389"/>
      <c r="AM24" s="4389"/>
      <c r="AN24" s="4389"/>
      <c r="AO24" s="4389"/>
      <c r="AP24" s="4389"/>
      <c r="AX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J25" s="4390"/>
      <c r="AK25" s="4390"/>
      <c r="AL25" s="4390"/>
      <c r="AM25" s="4390"/>
      <c r="AN25" s="4390"/>
      <c r="AO25" s="4390"/>
      <c r="AP25" s="4390"/>
      <c r="AX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4391"/>
      <c r="AK26" s="4391"/>
      <c r="AL26" s="4391"/>
      <c r="AM26" s="4391"/>
      <c r="AN26" s="4391"/>
      <c r="AO26" s="4391"/>
      <c r="AP26" s="4391"/>
      <c r="AQ26" s="1021"/>
      <c r="AX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4392" t="str">
        <f>IF(TITLE_NAME_OR_PR_CHANGE="",IF(TITLE_NAME_OR_PR="","",TITLE_NAME_OR_PR),TITLE_NAME_OR_PR_CHANGE)</f>
        <v>Агентство по тарифам Приморского края</v>
      </c>
      <c r="AK27" s="4392"/>
      <c r="AL27" s="4392"/>
      <c r="AM27" s="4392"/>
      <c r="AN27" s="4392"/>
      <c r="AO27" s="4392"/>
      <c r="AP27" s="4347"/>
      <c r="AQ27" s="838"/>
      <c r="AR27" s="792"/>
      <c r="AS27" s="880"/>
      <c r="AT27" s="880"/>
      <c r="AU27" s="880"/>
      <c r="AV27" s="880"/>
      <c r="AW27" s="880"/>
      <c r="AX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4393" t="str">
        <f>IF(TITLE_DATE_PR_CHANGE="",IF(TITLE_DATE_PR="","",TITLE_DATE_PR),TITLE_DATE_PR_CHANGE)</f>
        <v>45631.710694444446</v>
      </c>
      <c r="AK28" s="4393"/>
      <c r="AL28" s="4393"/>
      <c r="AM28" s="4393"/>
      <c r="AN28" s="4393"/>
      <c r="AO28" s="4393"/>
      <c r="AP28" s="4347"/>
      <c r="AQ28" s="838"/>
      <c r="AR28" s="792"/>
      <c r="AS28" s="880"/>
      <c r="AT28" s="880"/>
      <c r="AU28" s="880"/>
      <c r="AV28" s="880"/>
      <c r="AW28" s="880"/>
      <c r="AX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4392" t="str">
        <f>IF(TITLE_NUMBER_PR_CHANGE="",IF(TITLE_NUMBER_PR="","",TITLE_NUMBER_PR),TITLE_NUMBER_PR_CHANGE)</f>
        <v>53/9</v>
      </c>
      <c r="AK29" s="4392"/>
      <c r="AL29" s="4392"/>
      <c r="AM29" s="4392"/>
      <c r="AN29" s="4392"/>
      <c r="AO29" s="4392"/>
      <c r="AP29" s="4347"/>
      <c r="AQ29" s="838"/>
      <c r="AR29" s="792"/>
      <c r="AS29" s="880"/>
      <c r="AT29" s="880"/>
      <c r="AU29" s="880"/>
      <c r="AV29" s="880"/>
      <c r="AW29" s="880"/>
      <c r="AX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4392" t="str">
        <f>IF(TITLE_IST_PUB_CHANGE="",IF(TITLE_IST_PUB="","",TITLE_IST_PUB),TITLE_IST_PUB_CHANGE)</f>
        <v>http://pravo.gov.ru</v>
      </c>
      <c r="AK30" s="4392"/>
      <c r="AL30" s="4392"/>
      <c r="AM30" s="4392"/>
      <c r="AN30" s="4392"/>
      <c r="AO30" s="4392"/>
      <c r="AP30" s="4347"/>
      <c r="AQ30" s="838"/>
      <c r="AR30" s="792"/>
      <c r="AS30" s="880"/>
      <c r="AT30" s="880"/>
      <c r="AU30" s="880"/>
      <c r="AV30" s="880"/>
      <c r="AW30" s="880"/>
      <c r="AX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4391"/>
      <c r="AK31" s="4391"/>
      <c r="AL31" s="4391"/>
      <c r="AM31" s="4391"/>
      <c r="AN31" s="4391"/>
      <c r="AO31" s="4391"/>
      <c r="AP31" s="4391"/>
      <c r="AQ31" s="1021"/>
      <c r="AX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4393" t="str">
        <f>IF(TITLE_DATE_PR_CHANGE="",IF(TITLE_DATE_PR="","",TITLE_DATE_PR),TITLE_DATE_PR_CHANGE)</f>
        <v>45631.710694444446</v>
      </c>
      <c r="AK32" s="4393"/>
      <c r="AL32" s="4393"/>
      <c r="AM32" s="4393"/>
      <c r="AN32" s="4393"/>
      <c r="AO32" s="4393"/>
      <c r="AP32" s="4347"/>
      <c r="AQ32" s="838"/>
      <c r="AR32" s="792"/>
      <c r="AS32" s="880"/>
      <c r="AT32" s="880"/>
      <c r="AU32" s="880"/>
      <c r="AV32" s="880"/>
      <c r="AW32" s="880"/>
      <c r="AX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4392" t="str">
        <f>IF(TITLE_NUMBER_PR_CHANGE="",IF(TITLE_NUMBER_PR="","",TITLE_NUMBER_PR),TITLE_NUMBER_PR_CHANGE)</f>
        <v>53/9</v>
      </c>
      <c r="AK33" s="4392"/>
      <c r="AL33" s="4392"/>
      <c r="AM33" s="4392"/>
      <c r="AN33" s="4392"/>
      <c r="AO33" s="4392"/>
      <c r="AP33" s="4347"/>
      <c r="AQ33" s="838"/>
      <c r="AR33" s="792"/>
      <c r="AS33" s="880"/>
      <c r="AT33" s="880"/>
      <c r="AU33" s="880"/>
      <c r="AV33" s="880"/>
      <c r="AW33" s="880"/>
      <c r="AX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564</v>
      </c>
      <c r="AC34" s="838"/>
      <c r="AD34" s="838"/>
      <c r="AE34" s="838"/>
      <c r="AF34" s="838"/>
      <c r="AG34" s="838"/>
      <c r="AH34" s="838"/>
      <c r="AI34" s="790" t="s">
        <v>564</v>
      </c>
      <c r="AJ34" s="4347"/>
      <c r="AK34" s="4347"/>
      <c r="AL34" s="4347"/>
      <c r="AM34" s="4347"/>
      <c r="AN34" s="4347"/>
      <c r="AO34" s="4347"/>
      <c r="AP34" s="4394" t="s">
        <v>564</v>
      </c>
      <c r="AS34" s="880"/>
      <c r="AT34" s="880"/>
      <c r="AU34" s="880"/>
      <c r="AV34" s="880"/>
      <c r="AW34" s="880"/>
      <c r="AX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4395" t="s">
        <v>106</v>
      </c>
      <c r="AK35" s="4395"/>
      <c r="AL35" s="4395"/>
      <c r="AM35" s="4395"/>
      <c r="AN35" s="4395"/>
      <c r="AO35" s="4395"/>
      <c r="AP35" s="4395"/>
      <c r="AX35" s="1667">
        <v>14</v>
      </c>
    </row>
    <row customHeight="1" ht="15">
      <c r="Q36" s="888"/>
      <c r="R36" s="888"/>
      <c r="S36" s="2639" t="s">
        <v>439</v>
      </c>
      <c r="T36" s="2639"/>
      <c r="U36" s="2639"/>
      <c r="V36" s="2639"/>
      <c r="W36" s="2639"/>
      <c r="X36" s="2639"/>
      <c r="Y36" s="2639"/>
      <c r="Z36" s="2639"/>
      <c r="AA36" s="2639"/>
      <c r="AB36" s="2639"/>
      <c r="AC36" s="2639"/>
      <c r="AD36" s="2639"/>
      <c r="AE36" s="2639"/>
      <c r="AF36" s="2639"/>
      <c r="AG36" s="2639"/>
      <c r="AH36" s="2639"/>
      <c r="AI36" s="2639"/>
      <c r="AJ36" s="4396" t="s">
        <v>439</v>
      </c>
      <c r="AK36" s="4396"/>
      <c r="AL36" s="4396"/>
      <c r="AM36" s="4396"/>
      <c r="AN36" s="4396"/>
      <c r="AO36" s="4396"/>
      <c r="AP36" s="4396"/>
      <c r="AQ36" s="2639"/>
      <c r="AR36" s="2639"/>
      <c r="AX36" s="1667"/>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4397" t="s">
        <v>566</v>
      </c>
      <c r="AK37" s="4398"/>
      <c r="AL37" s="4398"/>
      <c r="AM37" s="4398"/>
      <c r="AN37" s="4398"/>
      <c r="AO37" s="4399"/>
      <c r="AP37" s="4400" t="s">
        <v>567</v>
      </c>
      <c r="AQ37" s="2792" t="s">
        <v>569</v>
      </c>
      <c r="AR37" s="2639"/>
      <c r="AX37" s="1667">
        <v>14</v>
      </c>
    </row>
    <row customHeight="1" ht="35.699999999999996">
      <c r="Q38" s="888"/>
      <c r="R38" s="888"/>
      <c r="S38" s="2785"/>
      <c r="T38" s="2721"/>
      <c r="U38" s="1543"/>
      <c r="V38" s="1964" t="s">
        <v>625</v>
      </c>
      <c r="W38" s="2774" t="s">
        <v>572</v>
      </c>
      <c r="X38" s="2775"/>
      <c r="Y38" s="2774" t="s">
        <v>573</v>
      </c>
      <c r="Z38" s="2781"/>
      <c r="AA38" s="2775"/>
      <c r="AB38" s="2790"/>
      <c r="AC38" s="1964" t="s">
        <v>625</v>
      </c>
      <c r="AD38" s="2774" t="s">
        <v>572</v>
      </c>
      <c r="AE38" s="2775"/>
      <c r="AF38" s="2774" t="s">
        <v>573</v>
      </c>
      <c r="AG38" s="2781"/>
      <c r="AH38" s="2775"/>
      <c r="AI38" s="2790"/>
      <c r="AJ38" s="4401" t="s">
        <v>625</v>
      </c>
      <c r="AK38" s="4402" t="s">
        <v>572</v>
      </c>
      <c r="AL38" s="4403"/>
      <c r="AM38" s="4402" t="s">
        <v>573</v>
      </c>
      <c r="AN38" s="4404"/>
      <c r="AO38" s="4403"/>
      <c r="AP38" s="4405"/>
      <c r="AQ38" s="2793"/>
      <c r="AR38" s="2639"/>
      <c r="AX38" s="1667">
        <v>34</v>
      </c>
    </row>
    <row customHeight="1" ht="35.699999999999996">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964" t="s">
        <v>628</v>
      </c>
      <c r="W39" s="1734" t="s">
        <v>629</v>
      </c>
      <c r="X39" s="1734" t="s">
        <v>630</v>
      </c>
      <c r="Y39" s="1967" t="s">
        <v>583</v>
      </c>
      <c r="Z39" s="2782" t="s">
        <v>584</v>
      </c>
      <c r="AA39" s="2783"/>
      <c r="AB39" s="2791"/>
      <c r="AC39" s="1964" t="s">
        <v>628</v>
      </c>
      <c r="AD39" s="1734" t="s">
        <v>629</v>
      </c>
      <c r="AE39" s="1734" t="s">
        <v>630</v>
      </c>
      <c r="AF39" s="1967" t="s">
        <v>583</v>
      </c>
      <c r="AG39" s="2782" t="s">
        <v>584</v>
      </c>
      <c r="AH39" s="2783"/>
      <c r="AI39" s="2791"/>
      <c r="AJ39" s="4401" t="s">
        <v>628</v>
      </c>
      <c r="AK39" s="4406" t="s">
        <v>629</v>
      </c>
      <c r="AL39" s="4406" t="s">
        <v>630</v>
      </c>
      <c r="AM39" s="4406" t="s">
        <v>583</v>
      </c>
      <c r="AN39" s="4407" t="s">
        <v>584</v>
      </c>
      <c r="AO39" s="4408"/>
      <c r="AP39" s="4409"/>
      <c r="AQ39" s="2794"/>
      <c r="AR39" s="2639"/>
      <c r="AX39" s="1667">
        <v>34</v>
      </c>
    </row>
    <row s="51564"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4410">
        <f>OFFSET(AJ40,0,-1)+1</f>
        <v>15</v>
      </c>
      <c r="AK40" s="4410">
        <f>OFFSET(AK40,0,-1)+1</f>
        <v>16</v>
      </c>
      <c r="AL40" s="4410">
        <f>OFFSET(AL40,0,-1)+1</f>
        <v>17</v>
      </c>
      <c r="AM40" s="4410">
        <f>OFFSET(AM40,0,-1)+1</f>
        <v>18</v>
      </c>
      <c r="AN40" s="4410">
        <f>OFFSET(AN40,0,-1)+1</f>
        <v>19</v>
      </c>
      <c r="AO40" s="4410"/>
      <c r="AP40" s="4410">
        <f>OFFSET(AP40,0,-2)+1</f>
        <v>20</v>
      </c>
      <c r="AQ40" s="1757">
        <f>OFFSET(AQ40,0,-1)</f>
        <v>20</v>
      </c>
      <c r="AR40" s="1963">
        <f>OFFSET(AR40,0,-1)+1</f>
        <v>21</v>
      </c>
      <c r="AS40" s="1023"/>
      <c r="AT40" s="1023"/>
      <c r="AU40" s="1023"/>
      <c r="AV40" s="1023"/>
      <c r="AW40" s="1023"/>
      <c r="AX40" s="1008">
        <v>0</v>
      </c>
    </row>
    <row customHeight="1" ht="24">
      <c r="A41" s="1875" t="s">
        <v>380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189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4348"/>
      <c r="AK41" s="4349"/>
      <c r="AL41" s="4349"/>
      <c r="AM41" s="4349"/>
      <c r="AN41" s="4349"/>
      <c r="AO41" s="4349"/>
      <c r="AP41" s="4350"/>
      <c r="AQ41" s="2756"/>
      <c r="AR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1012"/>
      <c r="AU41" s="1012" t="str">
        <f>IF(T41="","",T41)</f>
        <v>Наименование тарифа</v>
      </c>
      <c r="AV41" s="1012"/>
      <c r="AW41" s="1012"/>
      <c r="AX41" s="1667">
        <v>23</v>
      </c>
    </row>
    <row customHeight="1" ht="24">
      <c r="A42" s="1875" t="s">
        <v>380</v>
      </c>
      <c r="B42" s="1875" t="s">
        <v>381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536</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4348"/>
      <c r="AK42" s="4349"/>
      <c r="AL42" s="4349"/>
      <c r="AM42" s="4349"/>
      <c r="AN42" s="4349"/>
      <c r="AO42" s="4349"/>
      <c r="AP42" s="4350"/>
      <c r="AQ42" s="2756"/>
      <c r="AR42" s="1770" t="s">
        <v>537</v>
      </c>
      <c r="AT42" s="1012"/>
      <c r="AU42" s="1012" t="str">
        <f>IF(T42="","",T42)</f>
        <v>Территория действия тарифа</v>
      </c>
      <c r="AV42" s="1012"/>
      <c r="AW42" s="1012"/>
      <c r="AX42" s="1667">
        <v>23</v>
      </c>
    </row>
    <row customHeight="1" ht="24">
      <c r="A43" s="1875" t="s">
        <v>380</v>
      </c>
      <c r="B43" s="1875" t="s">
        <v>381</v>
      </c>
      <c r="C43" s="1875" t="s">
        <v>382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617</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4348"/>
      <c r="AK43" s="4349"/>
      <c r="AL43" s="4349"/>
      <c r="AM43" s="4349"/>
      <c r="AN43" s="4349"/>
      <c r="AO43" s="4349"/>
      <c r="AP43" s="4350"/>
      <c r="AQ43" s="2756"/>
      <c r="AR43" s="1770" t="s">
        <v>618</v>
      </c>
      <c r="AT43" s="1012"/>
      <c r="AU43" s="1012" t="str">
        <f>IF(T43="","",T43)</f>
        <v>Наименование централизованной системы холодного водоснабжения</v>
      </c>
      <c r="AV43" s="1012"/>
      <c r="AW43" s="1012"/>
      <c r="AX43" s="1667">
        <v>23</v>
      </c>
    </row>
    <row customHeight="1" ht="24">
      <c r="A44" s="1875" t="s">
        <v>380</v>
      </c>
      <c r="B44" s="1875" t="s">
        <v>381</v>
      </c>
      <c r="C44" s="1875" t="s">
        <v>382</v>
      </c>
      <c r="D44" s="1875" t="s">
        <v>636</v>
      </c>
      <c r="E44" s="2771"/>
      <c r="F44" s="2771"/>
      <c r="G44" s="2771"/>
      <c r="H44" s="2771"/>
      <c r="I44" s="2768" t="str">
        <f>S43&amp;".1"</f>
        <v>...1</v>
      </c>
      <c r="J44" s="1875"/>
      <c r="K44" s="1875"/>
      <c r="L44" s="1876"/>
      <c r="P44" s="2769">
        <v>1</v>
      </c>
      <c r="Q44" s="1962"/>
      <c r="R44" s="868"/>
      <c r="S44" s="1969" t="str">
        <f>$I44</f>
        <v>...1</v>
      </c>
      <c r="T44" s="797" t="s">
        <v>619</v>
      </c>
      <c r="U44" s="812"/>
      <c r="V44" s="2862"/>
      <c r="W44" s="2863"/>
      <c r="X44" s="2863"/>
      <c r="Y44" s="2863"/>
      <c r="Z44" s="2863"/>
      <c r="AA44" s="2863"/>
      <c r="AB44" s="2864"/>
      <c r="AC44" s="2865"/>
      <c r="AD44" s="2866"/>
      <c r="AE44" s="2866"/>
      <c r="AF44" s="2866"/>
      <c r="AG44" s="2866"/>
      <c r="AH44" s="2866"/>
      <c r="AI44" s="2866"/>
      <c r="AJ44" s="4351"/>
      <c r="AK44" s="4352"/>
      <c r="AL44" s="4352"/>
      <c r="AM44" s="4352"/>
      <c r="AN44" s="4352"/>
      <c r="AO44" s="4352"/>
      <c r="AP44" s="4353"/>
      <c r="AQ44" s="2867"/>
      <c r="AR44" s="1770" t="s">
        <v>620</v>
      </c>
      <c r="AT44" s="1012"/>
      <c r="AU44" s="1012" t="str">
        <f>IF(T44="","",T44)</f>
        <v>Наименование признака дифференциации</v>
      </c>
      <c r="AV44" s="1012"/>
      <c r="AW44" s="1012"/>
      <c r="AX44" s="1667">
        <v>23</v>
      </c>
    </row>
    <row customHeight="1" ht="24">
      <c r="A45" s="1875" t="s">
        <v>380</v>
      </c>
      <c r="B45" s="1875" t="s">
        <v>381</v>
      </c>
      <c r="C45" s="1875" t="s">
        <v>382</v>
      </c>
      <c r="D45" s="1875" t="s">
        <v>636</v>
      </c>
      <c r="E45" s="2771"/>
      <c r="F45" s="2771"/>
      <c r="G45" s="2771"/>
      <c r="H45" s="2771"/>
      <c r="I45" s="2798"/>
      <c r="J45" s="2768" t="str">
        <f>I44&amp;".1"</f>
        <v>...1.1</v>
      </c>
      <c r="K45" s="1875"/>
      <c r="L45" s="1876" t="s">
        <v>545</v>
      </c>
      <c r="P45" s="2769"/>
      <c r="Q45" s="2769">
        <v>1</v>
      </c>
      <c r="R45" s="869"/>
      <c r="S45" s="1969" t="str">
        <f>$J45</f>
        <v>...1.1</v>
      </c>
      <c r="T45" s="798" t="s">
        <v>546</v>
      </c>
      <c r="U45" s="812"/>
      <c r="V45" s="2757"/>
      <c r="W45" s="2758"/>
      <c r="X45" s="2758"/>
      <c r="Y45" s="2758"/>
      <c r="Z45" s="2758"/>
      <c r="AA45" s="2758"/>
      <c r="AB45" s="2759"/>
      <c r="AC45" s="2757" t="s">
        <v>632</v>
      </c>
      <c r="AD45" s="2758"/>
      <c r="AE45" s="2758"/>
      <c r="AF45" s="2758"/>
      <c r="AG45" s="2758"/>
      <c r="AH45" s="2758"/>
      <c r="AI45" s="2758"/>
      <c r="AJ45" s="4354"/>
      <c r="AK45" s="4355"/>
      <c r="AL45" s="4355"/>
      <c r="AM45" s="4355"/>
      <c r="AN45" s="4355"/>
      <c r="AO45" s="4355"/>
      <c r="AP45" s="4356"/>
      <c r="AQ45" s="2759"/>
      <c r="AR45" s="1819" t="s">
        <v>621</v>
      </c>
      <c r="AT45" s="1012"/>
      <c r="AU45" s="1012" t="str">
        <f>IF(T45="","",T45)</f>
        <v>Группа потребителей</v>
      </c>
      <c r="AV45" s="1012"/>
      <c r="AW45" s="1012"/>
      <c r="AX45" s="1667">
        <v>23</v>
      </c>
    </row>
    <row customHeight="1" ht="24">
      <c r="A46" s="1875" t="s">
        <v>380</v>
      </c>
      <c r="B46" s="1875" t="s">
        <v>381</v>
      </c>
      <c r="C46" s="1875" t="s">
        <v>382</v>
      </c>
      <c r="D46" s="1875" t="s">
        <v>636</v>
      </c>
      <c r="E46" s="2771"/>
      <c r="F46" s="2771"/>
      <c r="G46" s="2771"/>
      <c r="H46" s="2771"/>
      <c r="I46" s="2798"/>
      <c r="J46" s="2798"/>
      <c r="K46" s="2768" t="str">
        <f>J45&amp;".1"</f>
        <v>...1.1.1</v>
      </c>
      <c r="L46" s="1876"/>
      <c r="P46" s="2769"/>
      <c r="Q46" s="2769"/>
      <c r="R46" s="869">
        <v>1</v>
      </c>
      <c r="S46" s="1969" t="str">
        <f>$K46</f>
        <v>...1.1.1</v>
      </c>
      <c r="T46" s="1949" t="s">
        <v>614</v>
      </c>
      <c r="U46" s="812"/>
      <c r="V46" s="1263"/>
      <c r="W46" s="1263"/>
      <c r="X46" s="1769"/>
      <c r="Y46" s="2777"/>
      <c r="Z46" s="2619" t="s">
        <v>63</v>
      </c>
      <c r="AA46" s="2777"/>
      <c r="AB46" s="2619" t="s">
        <v>63</v>
      </c>
      <c r="AC46" s="1263">
        <v>372.94</v>
      </c>
      <c r="AD46" s="1263"/>
      <c r="AE46" s="1769"/>
      <c r="AF46" s="4359">
        <v>45658.604895833334</v>
      </c>
      <c r="AG46" s="2619" t="s">
        <v>63</v>
      </c>
      <c r="AH46" s="4411">
        <v>45838.60502314815</v>
      </c>
      <c r="AI46" s="2619" t="s">
        <v>63</v>
      </c>
      <c r="AJ46" s="4357">
        <v>420.82</v>
      </c>
      <c r="AK46" s="4357"/>
      <c r="AL46" s="4358"/>
      <c r="AM46" s="4359">
        <v>45839.60638888889</v>
      </c>
      <c r="AN46" s="4360" t="s">
        <v>63</v>
      </c>
      <c r="AO46" s="4359">
        <v>46022.60695601852</v>
      </c>
      <c r="AP46" s="4360" t="s">
        <v>63</v>
      </c>
      <c r="AQ46" s="1950"/>
      <c r="AR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1023">
        <f>STRCHECKDATE(V47:AQ47)</f>
      </c>
      <c r="AT46" s="1012"/>
      <c r="AU46" s="1012" t="str">
        <f>IF(T46="","",T46)</f>
        <v>с НДС</v>
      </c>
      <c r="AV46" s="1012"/>
      <c r="AW46" s="1012"/>
      <c r="AX46" s="1667">
        <v>23</v>
      </c>
    </row>
    <row customHeight="1" ht="0">
      <c r="A47" s="1875" t="s">
        <v>380</v>
      </c>
      <c r="B47" s="1875" t="s">
        <v>381</v>
      </c>
      <c r="C47" s="1875" t="s">
        <v>382</v>
      </c>
      <c r="D47" s="1875" t="s">
        <v>636</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45658.604895833334-45838.60502314815</v>
      </c>
      <c r="AF47" s="2778"/>
      <c r="AG47" s="2619"/>
      <c r="AH47" s="2800"/>
      <c r="AI47" s="2619"/>
      <c r="AJ47" s="4361"/>
      <c r="AK47" s="4361"/>
      <c r="AL47" s="4362" t="str">
        <f>AM46&amp;"-"&amp;AO46</f>
        <v>45839.60638888889-46022.60695601852</v>
      </c>
      <c r="AM47" s="4363"/>
      <c r="AN47" s="4360"/>
      <c r="AO47" s="4363"/>
      <c r="AP47" s="4360"/>
      <c r="AQ47" s="1951"/>
      <c r="AR47" s="2861"/>
      <c r="AT47" s="1012"/>
      <c r="AU47" s="1012" t="str">
        <f>IF(T47="","",T47)</f>
        <v/>
      </c>
      <c r="AV47" s="1012"/>
      <c r="AW47" s="1012"/>
      <c r="AX47" s="1667">
        <v>0</v>
      </c>
    </row>
    <row customHeight="1" ht="21">
      <c r="A48" s="1875" t="s">
        <v>380</v>
      </c>
      <c r="B48" s="1875" t="s">
        <v>381</v>
      </c>
      <c r="C48" s="1875" t="s">
        <v>382</v>
      </c>
      <c r="D48" s="1875" t="s">
        <v>636</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4412"/>
      <c r="AK48" s="4413"/>
      <c r="AL48" s="4414"/>
      <c r="AM48" s="4415"/>
      <c r="AN48" s="4416"/>
      <c r="AO48" s="4417"/>
      <c r="AP48" s="4418"/>
      <c r="AQ48" s="879"/>
      <c r="AR48" s="1770" t="s">
        <v>623</v>
      </c>
      <c r="AT48" s="1012"/>
      <c r="AU48" s="1012" t="str">
        <f>IF(T48="","",T48)</f>
        <v>Добавить значение признака дифференциации</v>
      </c>
      <c r="AV48" s="1012"/>
      <c r="AW48" s="1012"/>
      <c r="AX48" s="1667">
        <v>20</v>
      </c>
    </row>
    <row s="60082" customFormat="1" customHeight="1" ht="23.25">
      <c r="A49" s="4420"/>
      <c r="B49" s="4420"/>
      <c r="C49" s="4420"/>
      <c r="D49" s="4420"/>
      <c r="E49" s="4421"/>
      <c r="F49" s="4421"/>
      <c r="G49" s="4421"/>
      <c r="H49" s="4421"/>
      <c r="I49" s="4422"/>
      <c r="J49" s="4423" t="str">
        <f>I44&amp;".2"</f>
        <v>...1.2</v>
      </c>
      <c r="K49" s="4420"/>
      <c r="L49" s="4424" t="s">
        <v>545</v>
      </c>
      <c r="M49" s="4425"/>
      <c r="N49" s="4425"/>
      <c r="O49" s="4425"/>
      <c r="P49" s="4426"/>
      <c r="Q49" s="4427" t="s">
        <v>106</v>
      </c>
      <c r="R49" s="4428"/>
      <c r="S49" s="4429" t="str">
        <f>$J49</f>
        <v>...1.2</v>
      </c>
      <c r="T49" s="4430" t="s">
        <v>546</v>
      </c>
      <c r="U49" s="4431"/>
      <c r="V49" s="4354"/>
      <c r="W49" s="4355"/>
      <c r="X49" s="4355"/>
      <c r="Y49" s="4355"/>
      <c r="Z49" s="4355"/>
      <c r="AA49" s="4355"/>
      <c r="AB49" s="4356"/>
      <c r="AC49" s="4354" t="s">
        <v>633</v>
      </c>
      <c r="AD49" s="4355"/>
      <c r="AE49" s="4355"/>
      <c r="AF49" s="4355"/>
      <c r="AG49" s="4355"/>
      <c r="AH49" s="4355"/>
      <c r="AI49" s="4355"/>
      <c r="AJ49" s="4354"/>
      <c r="AK49" s="4355"/>
      <c r="AL49" s="4355"/>
      <c r="AM49" s="4355"/>
      <c r="AN49" s="4355"/>
      <c r="AO49" s="4355"/>
      <c r="AP49" s="4356"/>
      <c r="AQ49" s="4356"/>
      <c r="AR49" s="4432" t="s">
        <v>621</v>
      </c>
      <c r="AS49" s="4394"/>
      <c r="AT49" s="4433"/>
      <c r="AU49" s="4433" t="str">
        <f>IF(T49="","",T49)</f>
        <v>Группа потребителей</v>
      </c>
      <c r="AV49" s="4433"/>
      <c r="AW49" s="4433"/>
      <c r="AX49" s="4347">
        <v>0</v>
      </c>
    </row>
    <row s="60097" customFormat="1" customHeight="1" ht="23.25">
      <c r="A50" s="4420"/>
      <c r="B50" s="4420"/>
      <c r="C50" s="4420"/>
      <c r="D50" s="4420"/>
      <c r="E50" s="4421"/>
      <c r="F50" s="4421"/>
      <c r="G50" s="4421"/>
      <c r="H50" s="4421"/>
      <c r="I50" s="4422"/>
      <c r="J50" s="4422" t="str">
        <f>I44&amp;".1"</f>
        <v>...1.1</v>
      </c>
      <c r="K50" s="4423" t="str">
        <f>J49&amp;".1"</f>
        <v>...1.2.1</v>
      </c>
      <c r="L50" s="4424"/>
      <c r="M50" s="4425"/>
      <c r="N50" s="4425"/>
      <c r="O50" s="4425"/>
      <c r="P50" s="4426"/>
      <c r="Q50" s="4426"/>
      <c r="R50" s="4428">
        <v>1</v>
      </c>
      <c r="S50" s="4429" t="str">
        <f>$K50</f>
        <v>...1.2.1</v>
      </c>
      <c r="T50" s="4435" t="s">
        <v>615</v>
      </c>
      <c r="U50" s="4431"/>
      <c r="V50" s="4357"/>
      <c r="W50" s="4357"/>
      <c r="X50" s="4358"/>
      <c r="Y50" s="4359"/>
      <c r="Z50" s="4360" t="s">
        <v>63</v>
      </c>
      <c r="AA50" s="4359"/>
      <c r="AB50" s="4360" t="s">
        <v>63</v>
      </c>
      <c r="AC50" s="4357">
        <v>310.78</v>
      </c>
      <c r="AD50" s="4357"/>
      <c r="AE50" s="4358"/>
      <c r="AF50" s="4359">
        <v>45658.605787037035</v>
      </c>
      <c r="AG50" s="4360" t="s">
        <v>63</v>
      </c>
      <c r="AH50" s="4411">
        <v>45838.60605324074</v>
      </c>
      <c r="AI50" s="4360" t="s">
        <v>63</v>
      </c>
      <c r="AJ50" s="4357">
        <v>350.68</v>
      </c>
      <c r="AK50" s="4357"/>
      <c r="AL50" s="4358"/>
      <c r="AM50" s="4359">
        <v>45839.60649305556</v>
      </c>
      <c r="AN50" s="4360" t="s">
        <v>63</v>
      </c>
      <c r="AO50" s="4359">
        <v>46022.60706018518</v>
      </c>
      <c r="AP50" s="4360" t="s">
        <v>63</v>
      </c>
      <c r="AQ50" s="4436"/>
      <c r="AR50" s="44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4394">
        <f>STRCHECKDATE(V51:AQ51)</f>
      </c>
      <c r="AT50" s="4433"/>
      <c r="AU50" s="4433" t="str">
        <f>IF(T50="","",T50)</f>
        <v>без НДС</v>
      </c>
      <c r="AV50" s="4433"/>
      <c r="AW50" s="4433"/>
      <c r="AX50" s="4347">
        <v>0</v>
      </c>
    </row>
    <row s="60101" customFormat="1" customHeight="1" ht="14.25">
      <c r="A51" s="4420"/>
      <c r="B51" s="4420"/>
      <c r="C51" s="4420"/>
      <c r="D51" s="4420"/>
      <c r="E51" s="4421"/>
      <c r="F51" s="4421"/>
      <c r="G51" s="4421"/>
      <c r="H51" s="4421"/>
      <c r="I51" s="4422"/>
      <c r="J51" s="4422" t="str">
        <f>I44&amp;".1"</f>
        <v>...1.1</v>
      </c>
      <c r="K51" s="4423"/>
      <c r="L51" s="4424"/>
      <c r="M51" s="4425"/>
      <c r="N51" s="4425"/>
      <c r="O51" s="4425"/>
      <c r="P51" s="4426"/>
      <c r="Q51" s="4426"/>
      <c r="R51" s="4428"/>
      <c r="S51" s="4439"/>
      <c r="T51" s="4431"/>
      <c r="U51" s="4431"/>
      <c r="V51" s="4361"/>
      <c r="W51" s="4361"/>
      <c r="X51" s="4362" t="str">
        <f>Y50&amp;"-"&amp;AA50</f>
        <v>-</v>
      </c>
      <c r="Y51" s="4363"/>
      <c r="Z51" s="4360"/>
      <c r="AA51" s="4363"/>
      <c r="AB51" s="4360"/>
      <c r="AC51" s="4361"/>
      <c r="AD51" s="4361"/>
      <c r="AE51" s="4362" t="str">
        <f>AF50&amp;"-"&amp;AH50</f>
        <v>45658.605787037035-45838.60605324074</v>
      </c>
      <c r="AF51" s="4363"/>
      <c r="AG51" s="4360"/>
      <c r="AH51" s="4440"/>
      <c r="AI51" s="4360"/>
      <c r="AJ51" s="4361"/>
      <c r="AK51" s="4361"/>
      <c r="AL51" s="4362" t="str">
        <f>AM50&amp;"-"&amp;AO50</f>
        <v>45839.60649305556-46022.60706018518</v>
      </c>
      <c r="AM51" s="4363"/>
      <c r="AN51" s="4360"/>
      <c r="AO51" s="4363"/>
      <c r="AP51" s="4360"/>
      <c r="AQ51" s="4441"/>
      <c r="AR51" s="4437"/>
      <c r="AS51" s="4394"/>
      <c r="AT51" s="4433"/>
      <c r="AU51" s="4433" t="str">
        <f>IF(T51="","",T51)</f>
        <v/>
      </c>
      <c r="AV51" s="4433"/>
      <c r="AW51" s="4433"/>
      <c r="AX51" s="4347">
        <v>0</v>
      </c>
    </row>
    <row s="60105" customFormat="1" customHeight="1" ht="21">
      <c r="A52" s="4420"/>
      <c r="B52" s="4420"/>
      <c r="C52" s="4420"/>
      <c r="D52" s="4420"/>
      <c r="E52" s="4421"/>
      <c r="F52" s="4421"/>
      <c r="G52" s="4421"/>
      <c r="H52" s="4421"/>
      <c r="I52" s="4422"/>
      <c r="J52" s="4423" t="str">
        <f>I44&amp;".1"</f>
        <v>...1.1</v>
      </c>
      <c r="K52" s="4420"/>
      <c r="L52" s="4424"/>
      <c r="M52" s="4425"/>
      <c r="N52" s="4425"/>
      <c r="O52" s="4425"/>
      <c r="P52" s="4426"/>
      <c r="Q52" s="4426"/>
      <c r="R52" s="4443"/>
      <c r="S52" s="4444"/>
      <c r="T52" s="4445" t="s">
        <v>622</v>
      </c>
      <c r="U52" s="4446"/>
      <c r="V52" s="4447"/>
      <c r="W52" s="4448"/>
      <c r="X52" s="4449"/>
      <c r="Y52" s="4450"/>
      <c r="Z52" s="4451"/>
      <c r="AA52" s="4452"/>
      <c r="AB52" s="4453"/>
      <c r="AC52" s="4454"/>
      <c r="AD52" s="4455"/>
      <c r="AE52" s="4456"/>
      <c r="AF52" s="4457"/>
      <c r="AG52" s="4458"/>
      <c r="AH52" s="4459"/>
      <c r="AI52" s="4460"/>
      <c r="AJ52" s="4461"/>
      <c r="AK52" s="4462"/>
      <c r="AL52" s="4463"/>
      <c r="AM52" s="4464"/>
      <c r="AN52" s="4465"/>
      <c r="AO52" s="4466"/>
      <c r="AP52" s="4467"/>
      <c r="AQ52" s="4468"/>
      <c r="AR52" s="4469" t="s">
        <v>623</v>
      </c>
      <c r="AS52" s="4394"/>
      <c r="AT52" s="4433"/>
      <c r="AU52" s="4433" t="str">
        <f>IF(T52="","",T52)</f>
        <v>Добавить значение признака дифференциации</v>
      </c>
      <c r="AV52" s="4433"/>
      <c r="AW52" s="4433"/>
      <c r="AX52" s="4347">
        <v>0</v>
      </c>
    </row>
    <row customHeight="1" ht="22.049999999999997">
      <c r="A53" s="1875" t="s">
        <v>380</v>
      </c>
      <c r="B53" s="1875" t="s">
        <v>381</v>
      </c>
      <c r="C53" s="1875" t="s">
        <v>382</v>
      </c>
      <c r="D53" s="1875" t="s">
        <v>636</v>
      </c>
      <c r="E53" s="2771"/>
      <c r="F53" s="2771"/>
      <c r="G53" s="2771"/>
      <c r="H53" s="2771"/>
      <c r="I53" s="2768"/>
      <c r="J53" s="1875"/>
      <c r="K53" s="1875"/>
      <c r="L53" s="1876"/>
      <c r="P53" s="2769"/>
      <c r="Q53" s="1962"/>
      <c r="R53" s="868"/>
      <c r="S53" s="1790"/>
      <c r="T53" s="877" t="s">
        <v>551</v>
      </c>
      <c r="U53" s="879"/>
      <c r="V53" s="879"/>
      <c r="W53" s="879"/>
      <c r="X53" s="879"/>
      <c r="Y53" s="879"/>
      <c r="Z53" s="879"/>
      <c r="AA53" s="879"/>
      <c r="AB53" s="878"/>
      <c r="AC53" s="879"/>
      <c r="AD53" s="879"/>
      <c r="AE53" s="879"/>
      <c r="AF53" s="879"/>
      <c r="AG53" s="879"/>
      <c r="AH53" s="879"/>
      <c r="AI53" s="878"/>
      <c r="AJ53" s="4470"/>
      <c r="AK53" s="4471"/>
      <c r="AL53" s="4472"/>
      <c r="AM53" s="4473"/>
      <c r="AN53" s="4474"/>
      <c r="AO53" s="4475"/>
      <c r="AP53" s="4476"/>
      <c r="AQ53" s="879"/>
      <c r="AR53" s="1952"/>
      <c r="AT53" s="1012"/>
      <c r="AU53" s="1012" t="str">
        <f>IF(T53="","",T53)</f>
        <v>Добавить группу потребителей</v>
      </c>
      <c r="AV53" s="1012"/>
      <c r="AW53" s="1012"/>
      <c r="AX53" s="1667">
        <v>21</v>
      </c>
    </row>
    <row customHeight="1" ht="22.049999999999997">
      <c r="A54" s="1875" t="s">
        <v>380</v>
      </c>
      <c r="B54" s="1875" t="s">
        <v>381</v>
      </c>
      <c r="C54" s="1875" t="s">
        <v>382</v>
      </c>
      <c r="D54" s="1875" t="s">
        <v>636</v>
      </c>
      <c r="E54" s="2771"/>
      <c r="F54" s="2771"/>
      <c r="G54" s="2771"/>
      <c r="H54" s="2770"/>
      <c r="I54" s="1875"/>
      <c r="J54" s="1875"/>
      <c r="K54" s="1875"/>
      <c r="L54" s="1876"/>
      <c r="M54" s="1877"/>
      <c r="N54" s="1877"/>
      <c r="O54" s="1049"/>
      <c r="P54" s="872"/>
      <c r="Q54" s="887"/>
      <c r="R54" s="867"/>
      <c r="S54" s="1790"/>
      <c r="T54" s="884" t="s">
        <v>624</v>
      </c>
      <c r="U54" s="879"/>
      <c r="V54" s="879"/>
      <c r="W54" s="879"/>
      <c r="X54" s="879"/>
      <c r="Y54" s="879"/>
      <c r="Z54" s="879"/>
      <c r="AA54" s="879"/>
      <c r="AB54" s="878"/>
      <c r="AC54" s="879"/>
      <c r="AD54" s="879"/>
      <c r="AE54" s="879"/>
      <c r="AF54" s="879"/>
      <c r="AG54" s="879"/>
      <c r="AH54" s="879"/>
      <c r="AI54" s="878"/>
      <c r="AJ54" s="4477"/>
      <c r="AK54" s="4478"/>
      <c r="AL54" s="4479"/>
      <c r="AM54" s="4480"/>
      <c r="AN54" s="4481"/>
      <c r="AO54" s="4482"/>
      <c r="AP54" s="4483"/>
      <c r="AQ54" s="879"/>
      <c r="AR54" s="815"/>
      <c r="AT54" s="1012"/>
      <c r="AU54" s="1012" t="str">
        <f>IF(T54="","",T54)</f>
        <v>Добавить наименование признака дифференциации</v>
      </c>
      <c r="AV54" s="1012"/>
      <c r="AW54" s="1012"/>
      <c r="AX54" s="1667">
        <v>21</v>
      </c>
    </row>
    <row s="50882" customFormat="1" customHeight="1" ht="0">
      <c r="A55" s="1855" t="s">
        <v>380</v>
      </c>
      <c r="B55" s="1855" t="s">
        <v>381</v>
      </c>
      <c r="C55" s="1826"/>
      <c r="D55" s="1826"/>
      <c r="E55" s="2771"/>
      <c r="F55" s="2770"/>
      <c r="G55" s="1826"/>
      <c r="H55" s="1826"/>
      <c r="I55" s="1826"/>
      <c r="J55" s="1826"/>
      <c r="K55" s="1826"/>
      <c r="L55" s="1970"/>
      <c r="M55" s="1833"/>
      <c r="N55" s="1833"/>
      <c r="P55" s="1828"/>
      <c r="Q55" s="1829"/>
      <c r="R55" s="1828"/>
      <c r="S55" s="1834"/>
      <c r="T55" s="1837" t="s">
        <v>290</v>
      </c>
      <c r="U55" s="1836"/>
      <c r="V55" s="1836"/>
      <c r="W55" s="1836"/>
      <c r="X55" s="1836"/>
      <c r="Y55" s="1836"/>
      <c r="Z55" s="1836"/>
      <c r="AA55" s="1836"/>
      <c r="AB55" s="1836"/>
      <c r="AC55" s="1836"/>
      <c r="AD55" s="1836"/>
      <c r="AE55" s="1836"/>
      <c r="AF55" s="1836"/>
      <c r="AG55" s="1836"/>
      <c r="AH55" s="1836"/>
      <c r="AI55" s="1836"/>
      <c r="AJ55" s="4385"/>
      <c r="AK55" s="4385"/>
      <c r="AL55" s="4385"/>
      <c r="AM55" s="4385"/>
      <c r="AN55" s="4385"/>
      <c r="AO55" s="4385"/>
      <c r="AP55" s="4385"/>
      <c r="AQ55" s="1836"/>
      <c r="AR55" s="1836"/>
      <c r="AT55" s="1301"/>
      <c r="AU55" s="1301" t="str">
        <f>IF(T55="","",T55)</f>
        <v>Добавить централизованную систему для дифференциации</v>
      </c>
      <c r="AV55" s="1301"/>
      <c r="AW55" s="1301"/>
      <c r="AX55" s="1030">
        <v>0</v>
      </c>
    </row>
    <row s="50882" customFormat="1" customHeight="1" ht="0">
      <c r="A56" s="1855" t="s">
        <v>380</v>
      </c>
      <c r="B56" s="1855"/>
      <c r="C56" s="1855"/>
      <c r="D56" s="1855"/>
      <c r="E56" s="2770"/>
      <c r="F56" s="1855"/>
      <c r="G56" s="1855"/>
      <c r="H56" s="1855"/>
      <c r="I56" s="1855"/>
      <c r="J56" s="1855"/>
      <c r="K56" s="1855"/>
      <c r="L56" s="1858"/>
      <c r="M56" s="1833"/>
      <c r="N56" s="1833"/>
      <c r="O56" s="1030"/>
      <c r="P56" s="892"/>
      <c r="Q56" s="1856"/>
      <c r="R56" s="892"/>
      <c r="S56" s="1834"/>
      <c r="T56" s="1837" t="s">
        <v>365</v>
      </c>
      <c r="U56" s="1836"/>
      <c r="V56" s="1836"/>
      <c r="W56" s="1836"/>
      <c r="X56" s="1836"/>
      <c r="Y56" s="1836"/>
      <c r="Z56" s="1836"/>
      <c r="AA56" s="1836"/>
      <c r="AB56" s="1836"/>
      <c r="AC56" s="1836"/>
      <c r="AD56" s="1836"/>
      <c r="AE56" s="1836"/>
      <c r="AF56" s="1836"/>
      <c r="AG56" s="1836"/>
      <c r="AH56" s="1836"/>
      <c r="AI56" s="1836"/>
      <c r="AJ56" s="4385"/>
      <c r="AK56" s="4385"/>
      <c r="AL56" s="4385"/>
      <c r="AM56" s="4385"/>
      <c r="AN56" s="4385"/>
      <c r="AO56" s="4385"/>
      <c r="AP56" s="4385"/>
      <c r="AQ56" s="1836"/>
      <c r="AR56" s="1836"/>
      <c r="AT56" s="1012"/>
      <c r="AU56" s="1012" t="str">
        <f>IF(T56="","",T56)</f>
        <v>Добавить территорию для дифференциации</v>
      </c>
      <c r="AV56" s="1012"/>
      <c r="AW56" s="1012"/>
      <c r="AX56" s="1023">
        <v>0</v>
      </c>
    </row>
    <row s="50882" customFormat="1" customHeight="1" ht="0">
      <c r="A57" s="1826"/>
      <c r="B57" s="1826"/>
      <c r="C57" s="1826"/>
      <c r="D57" s="1826"/>
      <c r="E57" s="1855"/>
      <c r="F57" s="1826"/>
      <c r="G57" s="1826"/>
      <c r="H57" s="1826"/>
      <c r="I57" s="1826"/>
      <c r="J57" s="1826"/>
      <c r="K57" s="1826"/>
      <c r="L57" s="1970"/>
      <c r="M57" s="1833"/>
      <c r="N57" s="1833"/>
      <c r="P57" s="1828"/>
      <c r="Q57" s="1829"/>
      <c r="R57" s="1828"/>
      <c r="S57" s="1834"/>
      <c r="T57" s="1837" t="s">
        <v>366</v>
      </c>
      <c r="U57" s="1836"/>
      <c r="V57" s="1836"/>
      <c r="W57" s="1836"/>
      <c r="X57" s="1836"/>
      <c r="Y57" s="1836"/>
      <c r="Z57" s="1836"/>
      <c r="AA57" s="1836"/>
      <c r="AB57" s="1836"/>
      <c r="AC57" s="1836"/>
      <c r="AD57" s="1836"/>
      <c r="AE57" s="1836"/>
      <c r="AF57" s="1836"/>
      <c r="AG57" s="1836"/>
      <c r="AH57" s="1836"/>
      <c r="AI57" s="1836"/>
      <c r="AJ57" s="4385"/>
      <c r="AK57" s="4385"/>
      <c r="AL57" s="4385"/>
      <c r="AM57" s="4385"/>
      <c r="AN57" s="4385"/>
      <c r="AO57" s="4385"/>
      <c r="AP57" s="4385"/>
      <c r="AQ57" s="1836"/>
      <c r="AR57" s="1836"/>
      <c r="AT57" s="1301"/>
      <c r="AU57" s="1301" t="str">
        <f>IF(T57="","",T57)</f>
        <v>Добавить наименование тарифа</v>
      </c>
      <c r="AV57" s="1301"/>
      <c r="AW57" s="1301"/>
      <c r="AX57" s="1030">
        <v>0</v>
      </c>
    </row>
    <row customHeight="1" ht="11.549999999999999">
      <c r="M58" s="1672"/>
      <c r="N58" s="1672"/>
      <c r="O58" s="1049"/>
      <c r="P58" s="1667"/>
      <c r="Q58" s="1667"/>
      <c r="R58" s="1667"/>
      <c r="S58" s="1667"/>
      <c r="AJ58" s="4347"/>
      <c r="AK58" s="4347"/>
      <c r="AL58" s="4347"/>
      <c r="AM58" s="4347"/>
      <c r="AN58" s="4347"/>
      <c r="AO58" s="4347"/>
      <c r="AP58" s="4347"/>
      <c r="AS58" s="1667"/>
      <c r="AT58" s="1667"/>
      <c r="AU58" s="1667"/>
      <c r="AV58" s="1667"/>
      <c r="AW58" s="1667"/>
      <c r="AX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5086"/>
      <c r="AK59" s="5086"/>
      <c r="AL59" s="5086"/>
      <c r="AM59" s="5086"/>
      <c r="AN59" s="5086"/>
      <c r="AO59" s="5086"/>
      <c r="AP59" s="5086"/>
      <c r="AQ59" s="2797"/>
      <c r="AR59" s="2797"/>
      <c r="AX59" s="1667">
        <v>14</v>
      </c>
    </row>
    <row customHeight="1" ht="14.699999999999998">
      <c r="O60" s="1049"/>
      <c r="AJ60" s="4347"/>
      <c r="AK60" s="4347"/>
      <c r="AL60" s="4347"/>
      <c r="AM60" s="4347"/>
      <c r="AN60" s="4347"/>
      <c r="AO60" s="4347"/>
      <c r="AP60" s="4347"/>
      <c r="AX60" s="1667">
        <v>14</v>
      </c>
    </row>
    <row customHeight="1" ht="14.699999999999998">
      <c r="O61" s="1049"/>
      <c r="S61" s="1765"/>
      <c r="T61" s="2797"/>
      <c r="U61" s="2797"/>
      <c r="V61" s="2797"/>
      <c r="W61" s="2797"/>
      <c r="X61" s="2797"/>
      <c r="Y61" s="2797"/>
      <c r="Z61" s="2797"/>
      <c r="AA61" s="2797"/>
      <c r="AB61" s="2797"/>
      <c r="AC61" s="2797"/>
      <c r="AD61" s="2797"/>
      <c r="AE61" s="2797"/>
      <c r="AF61" s="2797"/>
      <c r="AG61" s="2797"/>
      <c r="AH61" s="2797"/>
      <c r="AI61" s="2797"/>
      <c r="AJ61" s="5086"/>
      <c r="AK61" s="5086"/>
      <c r="AL61" s="5086"/>
      <c r="AM61" s="5086"/>
      <c r="AN61" s="5086"/>
      <c r="AO61" s="5086"/>
      <c r="AP61" s="5086"/>
      <c r="AQ61" s="2797"/>
      <c r="AR61" s="2797"/>
      <c r="AX61" s="1667">
        <v>14</v>
      </c>
    </row>
    <row customHeight="1" ht="22.5" hidden="1">
      <c r="A62" s="1672" t="s">
        <v>84</v>
      </c>
      <c r="B62" s="1672">
        <v>0</v>
      </c>
      <c r="C62" s="1672">
        <v>0</v>
      </c>
      <c r="D62" s="1672">
        <v>0</v>
      </c>
      <c r="E62" s="1672">
        <v>0</v>
      </c>
      <c r="F62" s="1672">
        <v>0</v>
      </c>
      <c r="G62" s="1672">
        <v>0</v>
      </c>
      <c r="H62" s="1672">
        <v>0</v>
      </c>
      <c r="I62" s="1672">
        <v>0</v>
      </c>
      <c r="J62" s="1672">
        <v>0</v>
      </c>
      <c r="K62" s="1672">
        <v>0</v>
      </c>
      <c r="L62" s="1959">
        <v>0</v>
      </c>
      <c r="M62" s="1874">
        <v>0</v>
      </c>
      <c r="N62" s="1874">
        <v>0</v>
      </c>
      <c r="O62" s="1874">
        <v>0</v>
      </c>
      <c r="P62" s="1958">
        <v>3</v>
      </c>
      <c r="Q62" s="856">
        <v>3</v>
      </c>
      <c r="R62" s="856">
        <v>3</v>
      </c>
      <c r="S62" s="1093">
        <v>12</v>
      </c>
      <c r="T62" s="1667">
        <v>35</v>
      </c>
      <c r="U62" s="1667">
        <v>0</v>
      </c>
      <c r="V62" s="1667">
        <v>0</v>
      </c>
      <c r="W62" s="1667">
        <v>0</v>
      </c>
      <c r="X62" s="1667">
        <v>0</v>
      </c>
      <c r="Y62" s="1667">
        <v>0</v>
      </c>
      <c r="Z62" s="1667">
        <v>0</v>
      </c>
      <c r="AA62" s="1667">
        <v>0</v>
      </c>
      <c r="AB62" s="1667">
        <v>0</v>
      </c>
      <c r="AC62" s="1667">
        <v>24</v>
      </c>
      <c r="AD62" s="1667">
        <v>24</v>
      </c>
      <c r="AE62" s="1667">
        <v>24</v>
      </c>
      <c r="AF62" s="1667">
        <v>11</v>
      </c>
      <c r="AG62" s="1667">
        <v>3</v>
      </c>
      <c r="AH62" s="1667">
        <v>11</v>
      </c>
      <c r="AI62" s="1667">
        <v>0</v>
      </c>
      <c r="AJ62" s="4347">
        <v>0</v>
      </c>
      <c r="AK62" s="4347">
        <v>0</v>
      </c>
      <c r="AL62" s="4347">
        <v>0</v>
      </c>
      <c r="AM62" s="4347">
        <v>0</v>
      </c>
      <c r="AN62" s="4347">
        <v>0</v>
      </c>
      <c r="AO62" s="4347">
        <v>0</v>
      </c>
      <c r="AP62" s="4347">
        <v>0</v>
      </c>
      <c r="AQ62" s="1667">
        <v>4</v>
      </c>
      <c r="AR62" s="1667">
        <v>115</v>
      </c>
      <c r="AS62" s="1023">
        <v>10</v>
      </c>
      <c r="AT62" s="1023">
        <v>10</v>
      </c>
      <c r="AU62" s="1023">
        <v>10</v>
      </c>
      <c r="AV62" s="1023">
        <v>10</v>
      </c>
      <c r="AW62" s="1023">
        <v>10</v>
      </c>
      <c r="AX62" s="1667">
        <v>23</v>
      </c>
    </row>
  </sheetData>
  <sheetProtection formatColumns="0" formatRows="0" autoFilter="0" sort="0" insertRows="0" insertColumns="1" deleteRows="0" deleteColumns="0"/>
  <mergeCells count="140">
    <mergeCell ref="AR46:AR47"/>
    <mergeCell ref="T59:AR59"/>
    <mergeCell ref="T61:AR61"/>
    <mergeCell ref="K46:K47"/>
    <mergeCell ref="Y46:Y47"/>
    <mergeCell ref="Z46:Z47"/>
    <mergeCell ref="AA46:AA47"/>
    <mergeCell ref="AB46:AB47"/>
    <mergeCell ref="AF46:AF47"/>
    <mergeCell ref="Z40:AA40"/>
    <mergeCell ref="AG40:AH40"/>
    <mergeCell ref="E41:E56"/>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 ref="AC45:AQ45"/>
    <mergeCell ref="AG46:AG47"/>
    <mergeCell ref="AH46:AH47"/>
    <mergeCell ref="AI46:AI47"/>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7:AR8"/>
    <mergeCell ref="AF15:AF16"/>
    <mergeCell ref="AG15:AG16"/>
    <mergeCell ref="AH15:AH16"/>
    <mergeCell ref="AI15:AI16"/>
    <mergeCell ref="Z7:Z8"/>
    <mergeCell ref="AA7:AA8"/>
    <mergeCell ref="AB7:AB8"/>
    <mergeCell ref="AF7:AF8"/>
    <mergeCell ref="AG7:AG8"/>
    <mergeCell ref="AH7:AH8"/>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R50:AR51"/>
    <mergeCell ref="Z50:Z51"/>
    <mergeCell ref="AA50:AA51"/>
    <mergeCell ref="AB50:AB51"/>
    <mergeCell ref="AF50:AF51"/>
    <mergeCell ref="AG50:AG51"/>
    <mergeCell ref="AH50:AH51"/>
    <mergeCell ref="J49:J52"/>
    <mergeCell ref="Q49:Q52"/>
    <mergeCell ref="V49:AB49"/>
    <mergeCell ref="AC49:AQ49"/>
    <mergeCell ref="K50:K51"/>
    <mergeCell ref="Y50:Y51"/>
    <mergeCell ref="AI50:AI51"/>
    <mergeCell ref="AM46:AM47"/>
    <mergeCell ref="AN46:AN47"/>
    <mergeCell ref="AO46:AO47"/>
    <mergeCell ref="AP46:AP47"/>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50:AM51"/>
    <mergeCell ref="AN50:AN51"/>
    <mergeCell ref="AO50:AO51"/>
    <mergeCell ref="AP50:AP51"/>
  </mergeCells>
  <dataValidations count="8">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46 AN46 AP46 AI524334:AP524334 AI196654:AP196654 AI589870:AP589870 AI655406:AP655406 AI15 AI720942:AP720942 AI786478:AP786478 AI852014:AP852014 AI917550:AP917550 AI983086:AP983086 AI65582:AP65582 AI131118:AP131118 AI458798:AP458798 AI262190:AP262190 AG46 AI7 AN7 AP7 Z46 AB46 AG15 AG7 Z7 AB7 AI327726:AP327726 AI393262:AP393262 Z50 AB50 AG50 AI50 AN50 AP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Y46 AA46 AH7 AF7 Y7 AA7 Y50 AA50 AF50 AH50 AM7 AO7 AM46 AO46 AM50 AO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44:AI44 AQ44 AC5:AI5 AQ5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X47 AE8 X8 AE47 X51 AE51 AL8 AL47 AL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CF0C36-3FAF-EE89-B071-861868D37F1B}"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50801" width="10.140625" hidden="1" customWidth="1"/>
    <col min="4" max="4" style="50801" width="11.8515625" hidden="1" customWidth="1"/>
    <col min="5" max="11" style="50801" width="10.140625" hidden="1" customWidth="1"/>
    <col min="12" max="12" style="50879" width="10.140625" hidden="1" customWidth="1"/>
    <col min="13" max="15" style="51808" width="10.140625" hidden="1" customWidth="1"/>
    <col min="16" max="16" style="51807" width="3.00390625" customWidth="1"/>
    <col min="17" max="17" style="51992" width="3.00390625" customWidth="1"/>
    <col min="18" max="18" style="51809" width="3.00390625" customWidth="1"/>
    <col min="19" max="19" style="51810" width="12.00390625" customWidth="1"/>
    <col min="20" max="20" style="50801" width="31.00390625" customWidth="1"/>
    <col min="21" max="21" style="50801" width="0.140625" customWidth="1"/>
    <col min="22" max="23" style="50801" width="21.7109375" hidden="1" customWidth="1"/>
    <col min="24" max="24" style="50801" width="11.7109375" hidden="1" customWidth="1"/>
    <col min="25" max="25" style="50801" width="3.7109375" hidden="1" customWidth="1"/>
    <col min="26" max="26" style="50801" width="11.7109375" hidden="1" customWidth="1"/>
    <col min="27" max="27" style="50801" width="8.57421875" hidden="1" customWidth="1"/>
    <col min="28" max="28" style="50801" width="27.00390625" customWidth="1"/>
    <col min="29" max="29" style="50801" width="24.57421875" customWidth="1"/>
    <col min="30" max="31" style="50801" width="21.00390625" customWidth="1"/>
    <col min="32" max="32" style="50801" width="11.00390625" customWidth="1"/>
    <col min="33" max="33" style="50801" width="3.7109375" customWidth="1"/>
    <col min="34" max="34" style="50801" width="11.00390625" customWidth="1"/>
    <col min="35" max="35" style="50801" width="8.57421875" hidden="1" customWidth="1"/>
    <col min="36" max="36" style="50801" width="4.00390625" customWidth="1"/>
    <col min="37" max="37" style="50801" width="115.00390625" customWidth="1"/>
    <col min="38" max="42" style="50882" width="10.00390625" customWidth="1"/>
    <col min="43" max="43" style="50801" width="10.57421875" hidden="1"/>
  </cols>
  <sheetData>
    <row customHeight="1" ht="0.75" hidden="1">
      <c r="AQ1" s="2143" t="s">
        <v>14</v>
      </c>
    </row>
    <row customHeight="1" ht="21" hidden="1">
      <c r="A2" s="1779"/>
      <c r="B2" s="1779"/>
      <c r="C2" s="1779"/>
      <c r="D2" s="1779"/>
      <c r="E2" s="2801">
        <v>1</v>
      </c>
      <c r="F2" s="1779"/>
      <c r="G2" s="1779"/>
      <c r="H2" s="1779"/>
      <c r="I2" s="1779"/>
      <c r="J2" s="1779"/>
      <c r="K2" s="1779"/>
      <c r="L2" s="1822"/>
      <c r="M2" s="2122"/>
      <c r="N2" s="2122"/>
      <c r="O2" s="2122"/>
      <c r="P2" s="1921"/>
      <c r="Q2" s="1385"/>
      <c r="R2" s="867"/>
      <c r="S2" s="2470">
        <f>INDEX(PT_DIFFERENTIATION_NUM_NTAR,MATCH(A2,PT_DIFFERENTIATION_NTAR_ID,0))</f>
      </c>
      <c r="T2" s="2037" t="s">
        <v>189</v>
      </c>
      <c r="U2" s="812"/>
      <c r="V2" s="2755"/>
      <c r="W2" s="2755"/>
      <c r="X2" s="2755"/>
      <c r="Y2" s="2755"/>
      <c r="Z2" s="2755"/>
      <c r="AA2" s="2756"/>
      <c r="AB2" s="2464"/>
      <c r="AC2" s="2755">
        <f>INDEX(PT_DIFFERENTIATION_NTAR,MATCH(A2,PT_DIFFERENTIATION_NTAR_ID,0))</f>
      </c>
      <c r="AD2" s="2755"/>
      <c r="AE2" s="2755"/>
      <c r="AF2" s="2755"/>
      <c r="AG2" s="2755"/>
      <c r="AH2" s="2755"/>
      <c r="AI2" s="2755"/>
      <c r="AJ2" s="2756"/>
      <c r="AK2" s="1770" t="s">
        <v>535</v>
      </c>
      <c r="AM2" s="2136"/>
      <c r="AN2" s="2136" t="str">
        <f>IF(T2="","",T2)</f>
        <v>Наименование тарифа</v>
      </c>
      <c r="AO2" s="2136"/>
      <c r="AP2" s="2136"/>
      <c r="AQ2" s="2143">
        <v>0</v>
      </c>
    </row>
    <row customHeight="1" ht="21" hidden="1">
      <c r="A3" s="1779"/>
      <c r="B3" s="1779"/>
      <c r="C3" s="1779"/>
      <c r="D3" s="1779"/>
      <c r="E3" s="2802"/>
      <c r="F3" s="2801">
        <v>1</v>
      </c>
      <c r="G3" s="1779"/>
      <c r="H3" s="1779"/>
      <c r="I3" s="1779"/>
      <c r="J3" s="1779"/>
      <c r="K3" s="1779"/>
      <c r="L3" s="1822"/>
      <c r="M3" s="2122"/>
      <c r="N3" s="2122"/>
      <c r="O3" s="2122"/>
      <c r="P3" s="2481"/>
      <c r="Q3" s="1923"/>
      <c r="R3" s="865"/>
      <c r="S3" s="2470">
        <f>INDEX(PT_DIFFERENTIATION_NUM_TER,MATCH(B3,PT_DIFFERENTIATION_TER_ID,0))</f>
      </c>
      <c r="T3" s="2034" t="s">
        <v>536</v>
      </c>
      <c r="U3" s="812"/>
      <c r="V3" s="2755"/>
      <c r="W3" s="2755"/>
      <c r="X3" s="2755"/>
      <c r="Y3" s="2755"/>
      <c r="Z3" s="2755"/>
      <c r="AA3" s="2756"/>
      <c r="AB3" s="2464"/>
      <c r="AC3" s="2755">
        <f>INDEX(PT_DIFFERENTIATION_TER,MATCH(B3,PT_DIFFERENTIATION_TER_ID,0))</f>
      </c>
      <c r="AD3" s="2755"/>
      <c r="AE3" s="2755"/>
      <c r="AF3" s="2755"/>
      <c r="AG3" s="2755"/>
      <c r="AH3" s="2755"/>
      <c r="AI3" s="2755"/>
      <c r="AJ3" s="2756"/>
      <c r="AK3" s="1770" t="s">
        <v>537</v>
      </c>
      <c r="AM3" s="2136"/>
      <c r="AN3" s="2136" t="str">
        <f>IF(T3="","",T3)</f>
        <v>Территория действия тарифа</v>
      </c>
      <c r="AO3" s="2136"/>
      <c r="AP3" s="2136"/>
      <c r="AQ3" s="2143">
        <v>0</v>
      </c>
    </row>
    <row customHeight="1" ht="22.5" hidden="1">
      <c r="A4" s="1779"/>
      <c r="B4" s="1779"/>
      <c r="C4" s="1779"/>
      <c r="D4" s="1779"/>
      <c r="E4" s="2802"/>
      <c r="F4" s="2802"/>
      <c r="G4" s="2801">
        <v>1</v>
      </c>
      <c r="H4" s="1779"/>
      <c r="I4" s="1779"/>
      <c r="J4" s="1779"/>
      <c r="K4" s="1779"/>
      <c r="L4" s="1822"/>
      <c r="M4" s="2122"/>
      <c r="N4" s="2122"/>
      <c r="O4" s="2122"/>
      <c r="P4" s="1924"/>
      <c r="Q4" s="1923"/>
      <c r="R4" s="865"/>
      <c r="S4" s="2470">
        <f>INDEX(PT_DIFFERENTIATION_NUM_CS,MATCH(C4,PT_DIFFERENTIATION_CS_ID,0))</f>
      </c>
      <c r="T4" s="821" t="s">
        <v>538</v>
      </c>
      <c r="U4" s="812"/>
      <c r="V4" s="2755"/>
      <c r="W4" s="2755"/>
      <c r="X4" s="2755"/>
      <c r="Y4" s="2755"/>
      <c r="Z4" s="2755"/>
      <c r="AA4" s="2756"/>
      <c r="AB4" s="2464"/>
      <c r="AC4" s="2755">
        <f>INDEX(PT_DIFFERENTIATION_CS,MATCH(C4,PT_DIFFERENTIATION_CS_ID,0))</f>
      </c>
      <c r="AD4" s="2755"/>
      <c r="AE4" s="2755"/>
      <c r="AF4" s="2755"/>
      <c r="AG4" s="2755"/>
      <c r="AH4" s="2755"/>
      <c r="AI4" s="2755"/>
      <c r="AJ4" s="2756"/>
      <c r="AK4" s="1770" t="s">
        <v>539</v>
      </c>
      <c r="AM4" s="2136"/>
      <c r="AN4" s="2136" t="str">
        <f>IF(T4="","",T4)</f>
        <v>Наименование системы теплоснабжения </v>
      </c>
      <c r="AO4" s="2136"/>
      <c r="AP4" s="2136"/>
      <c r="AQ4" s="2143">
        <v>0</v>
      </c>
    </row>
    <row customHeight="1" ht="21" hidden="1">
      <c r="A5" s="1779"/>
      <c r="B5" s="1779"/>
      <c r="C5" s="1779"/>
      <c r="D5" s="1779"/>
      <c r="E5" s="2802"/>
      <c r="F5" s="2802"/>
      <c r="G5" s="2802"/>
      <c r="H5" s="2801">
        <v>1</v>
      </c>
      <c r="I5" s="1779"/>
      <c r="J5" s="1779"/>
      <c r="K5" s="1779"/>
      <c r="L5" s="1822"/>
      <c r="M5" s="2122"/>
      <c r="N5" s="2122"/>
      <c r="O5" s="2122"/>
      <c r="P5" s="1924"/>
      <c r="Q5" s="1923"/>
      <c r="R5" s="865"/>
      <c r="S5" s="2470">
        <f>INDEX(PT_DIFFERENTIATION_NUM_IST_TE,MATCH(D5,PT_DIFFERENTIATION_IST_TE_ID,0))</f>
      </c>
      <c r="T5" s="822" t="s">
        <v>540</v>
      </c>
      <c r="U5" s="812"/>
      <c r="V5" s="2755"/>
      <c r="W5" s="2755"/>
      <c r="X5" s="2755"/>
      <c r="Y5" s="2755"/>
      <c r="Z5" s="2755"/>
      <c r="AA5" s="2756"/>
      <c r="AB5" s="2464"/>
      <c r="AC5" s="2755">
        <f>INDEX(PT_DIFFERENTIATION_IST_TE,MATCH(D5,PT_DIFFERENTIATION_IST_TE_ID,0))</f>
      </c>
      <c r="AD5" s="2755"/>
      <c r="AE5" s="2755"/>
      <c r="AF5" s="2755"/>
      <c r="AG5" s="2755"/>
      <c r="AH5" s="2755"/>
      <c r="AI5" s="2755"/>
      <c r="AJ5" s="2756"/>
      <c r="AK5" s="1770" t="s">
        <v>541</v>
      </c>
      <c r="AM5" s="2136"/>
      <c r="AN5" s="2136" t="str">
        <f>IF(T5="","",T5)</f>
        <v>Источник тепловой энергии  </v>
      </c>
      <c r="AO5" s="2136"/>
      <c r="AP5" s="2136"/>
      <c r="AQ5" s="2143">
        <v>0</v>
      </c>
    </row>
    <row s="50882" customFormat="1" customHeight="1" ht="0.75" hidden="1">
      <c r="A6" s="1887"/>
      <c r="B6" s="1887"/>
      <c r="C6" s="1887"/>
      <c r="D6" s="1887"/>
      <c r="E6" s="2802"/>
      <c r="F6" s="2802"/>
      <c r="G6" s="2802"/>
      <c r="H6" s="2802"/>
      <c r="I6" s="2639">
        <f>S5&amp;".1"</f>
      </c>
      <c r="J6" s="1887"/>
      <c r="K6" s="1887"/>
      <c r="L6" s="1893" t="s">
        <v>542</v>
      </c>
      <c r="M6" s="1758"/>
      <c r="N6" s="1758"/>
      <c r="O6" s="1758"/>
      <c r="P6" s="2769">
        <v>1</v>
      </c>
      <c r="Q6" s="2466"/>
      <c r="R6" s="868"/>
      <c r="S6" s="1554"/>
      <c r="T6" s="1895"/>
      <c r="U6" s="1896"/>
      <c r="V6" s="2809"/>
      <c r="W6" s="2809"/>
      <c r="X6" s="2809"/>
      <c r="Y6" s="2809"/>
      <c r="Z6" s="2809"/>
      <c r="AA6" s="2810"/>
      <c r="AB6" s="2472"/>
      <c r="AC6" s="2809"/>
      <c r="AD6" s="2809"/>
      <c r="AE6" s="2809"/>
      <c r="AF6" s="2809"/>
      <c r="AG6" s="2809"/>
      <c r="AH6" s="2809"/>
      <c r="AI6" s="2809"/>
      <c r="AJ6" s="2810"/>
      <c r="AK6" s="1897"/>
      <c r="AM6" s="2136"/>
      <c r="AN6" s="2136" t="str">
        <f>IF(T6="","",T6)</f>
        <v/>
      </c>
      <c r="AO6" s="2136"/>
      <c r="AP6" s="2136"/>
      <c r="AQ6" s="2148">
        <v>0</v>
      </c>
    </row>
    <row s="50882" customFormat="1" customHeight="1" ht="0.75" hidden="1">
      <c r="A7" s="1887"/>
      <c r="B7" s="1887"/>
      <c r="C7" s="1887"/>
      <c r="D7" s="1887"/>
      <c r="E7" s="2802"/>
      <c r="F7" s="2802"/>
      <c r="G7" s="2802"/>
      <c r="H7" s="2802"/>
      <c r="I7" s="2613"/>
      <c r="J7" s="2639">
        <f>S5&amp;".1"</f>
      </c>
      <c r="K7" s="1887"/>
      <c r="L7" s="1893"/>
      <c r="M7" s="1758"/>
      <c r="N7" s="1758"/>
      <c r="O7" s="1758"/>
      <c r="P7" s="2769"/>
      <c r="Q7" s="2769">
        <v>1</v>
      </c>
      <c r="R7" s="869"/>
      <c r="S7" s="1554"/>
      <c r="T7" s="1911"/>
      <c r="U7" s="1896"/>
      <c r="V7" s="2809"/>
      <c r="W7" s="2809"/>
      <c r="X7" s="2809"/>
      <c r="Y7" s="2809"/>
      <c r="Z7" s="2809"/>
      <c r="AA7" s="2810"/>
      <c r="AB7" s="2472"/>
      <c r="AC7" s="2809"/>
      <c r="AD7" s="2809"/>
      <c r="AE7" s="2809"/>
      <c r="AF7" s="2809"/>
      <c r="AG7" s="2809"/>
      <c r="AH7" s="2809"/>
      <c r="AI7" s="2809"/>
      <c r="AJ7" s="2810"/>
      <c r="AK7" s="1897"/>
      <c r="AM7" s="2136"/>
      <c r="AN7" s="2136" t="str">
        <f>IF(T7="","",T7)</f>
        <v/>
      </c>
      <c r="AO7" s="2136"/>
      <c r="AP7" s="2136"/>
      <c r="AQ7" s="2148">
        <v>0</v>
      </c>
    </row>
    <row customHeight="1" ht="21" hidden="1">
      <c r="A8" s="1779"/>
      <c r="B8" s="1779"/>
      <c r="C8" s="1779"/>
      <c r="D8" s="1779"/>
      <c r="E8" s="2802"/>
      <c r="F8" s="2802"/>
      <c r="G8" s="2802"/>
      <c r="H8" s="2802"/>
      <c r="I8" s="2613"/>
      <c r="J8" s="2613"/>
      <c r="K8" s="2503">
        <f>S5&amp;".1"</f>
      </c>
      <c r="L8" s="1822"/>
      <c r="P8" s="2769"/>
      <c r="Q8" s="2769"/>
      <c r="R8" s="2507">
        <v>1</v>
      </c>
      <c r="S8" s="2505">
        <f>$K8</f>
      </c>
      <c r="T8" s="2506"/>
      <c r="U8" s="812"/>
      <c r="V8" s="1263"/>
      <c r="W8" s="1769"/>
      <c r="X8" s="2504"/>
      <c r="Y8" s="2502" t="s">
        <v>63</v>
      </c>
      <c r="Z8" s="2504"/>
      <c r="AA8" s="2502" t="s">
        <v>63</v>
      </c>
      <c r="AB8" s="2508"/>
      <c r="AC8" s="2509" t="s">
        <v>28</v>
      </c>
      <c r="AD8" s="1263"/>
      <c r="AE8" s="1769"/>
      <c r="AF8" s="2467"/>
      <c r="AG8" s="2454" t="s">
        <v>63</v>
      </c>
      <c r="AH8" s="2467"/>
      <c r="AI8" s="2454" t="s">
        <v>63</v>
      </c>
      <c r="AJ8" s="1860"/>
      <c r="AK8" s="2765" t="s">
        <v>600</v>
      </c>
      <c r="AL8" s="2148">
        <f>STRCHECKDATE(#REF!)</f>
      </c>
      <c r="AM8" s="2136"/>
      <c r="AN8" s="2136" t="str">
        <f>IF(T8="","",T8)</f>
        <v/>
      </c>
      <c r="AO8" s="2136"/>
      <c r="AP8" s="2136"/>
      <c r="AQ8" s="2143">
        <v>0</v>
      </c>
    </row>
    <row customHeight="1" ht="11.25" hidden="1">
      <c r="A9" s="1779"/>
      <c r="B9" s="1779"/>
      <c r="C9" s="1779"/>
      <c r="D9" s="1779"/>
      <c r="E9" s="2802"/>
      <c r="F9" s="2802"/>
      <c r="G9" s="2802"/>
      <c r="H9" s="2802"/>
      <c r="I9" s="2613"/>
      <c r="J9" s="2639"/>
      <c r="K9" s="1779"/>
      <c r="L9" s="1822"/>
      <c r="P9" s="2769"/>
      <c r="Q9" s="2769"/>
      <c r="R9" s="868"/>
      <c r="S9" s="1790"/>
      <c r="T9" s="799" t="s">
        <v>604</v>
      </c>
      <c r="U9" s="1112"/>
      <c r="V9" s="1112"/>
      <c r="W9" s="1112"/>
      <c r="X9" s="1112"/>
      <c r="Y9" s="1112"/>
      <c r="Z9" s="1112"/>
      <c r="AA9" s="1112"/>
      <c r="AB9" s="1112"/>
      <c r="AC9" s="1112"/>
      <c r="AD9" s="1112"/>
      <c r="AE9" s="1112"/>
      <c r="AF9" s="1112"/>
      <c r="AG9" s="1112"/>
      <c r="AH9" s="1112"/>
      <c r="AI9" s="1112"/>
      <c r="AJ9" s="836"/>
      <c r="AK9" s="2767"/>
      <c r="AM9" s="2136"/>
      <c r="AN9" s="2136" t="str">
        <f>IF(T9="","",T9)</f>
        <v>Добавить строку</v>
      </c>
      <c r="AO9" s="2136"/>
      <c r="AP9" s="2136"/>
      <c r="AQ9" s="2143">
        <v>0</v>
      </c>
    </row>
    <row s="50882" customFormat="1" customHeight="1" ht="0.75" hidden="1">
      <c r="A10" s="1887"/>
      <c r="B10" s="1887"/>
      <c r="C10" s="1887"/>
      <c r="D10" s="1887"/>
      <c r="E10" s="2802"/>
      <c r="F10" s="2802"/>
      <c r="G10" s="2802"/>
      <c r="H10" s="2802"/>
      <c r="I10" s="2639"/>
      <c r="J10" s="1887"/>
      <c r="K10" s="1887"/>
      <c r="L10" s="1893"/>
      <c r="M10" s="1758"/>
      <c r="N10" s="1758"/>
      <c r="O10" s="1758"/>
      <c r="P10" s="2769"/>
      <c r="Q10" s="2466"/>
      <c r="R10" s="868"/>
      <c r="S10" s="1898"/>
      <c r="T10" s="1899"/>
      <c r="U10" s="1900"/>
      <c r="V10" s="1900"/>
      <c r="W10" s="1900"/>
      <c r="X10" s="1900"/>
      <c r="Y10" s="1900"/>
      <c r="Z10" s="1900"/>
      <c r="AA10" s="1900"/>
      <c r="AB10" s="1900"/>
      <c r="AC10" s="1900"/>
      <c r="AD10" s="1900"/>
      <c r="AE10" s="1900"/>
      <c r="AF10" s="1900"/>
      <c r="AG10" s="1900"/>
      <c r="AH10" s="1900"/>
      <c r="AI10" s="1900"/>
      <c r="AJ10" s="1900"/>
      <c r="AK10" s="1901"/>
      <c r="AM10" s="2136"/>
      <c r="AN10" s="2136" t="str">
        <f>IF(T10="","",T10)</f>
        <v/>
      </c>
      <c r="AO10" s="2136"/>
      <c r="AP10" s="2136"/>
      <c r="AQ10" s="2148">
        <v>0</v>
      </c>
    </row>
    <row s="50882" customFormat="1" customHeight="1" ht="0.75" hidden="1">
      <c r="A11" s="1887"/>
      <c r="B11" s="1887"/>
      <c r="C11" s="1887"/>
      <c r="D11" s="1887"/>
      <c r="E11" s="2802"/>
      <c r="F11" s="2802"/>
      <c r="G11" s="2802"/>
      <c r="H11" s="2801"/>
      <c r="I11" s="1887"/>
      <c r="J11" s="1887"/>
      <c r="K11" s="1887"/>
      <c r="L11" s="1893"/>
      <c r="M11" s="1890"/>
      <c r="N11" s="1890"/>
      <c r="O11" s="863"/>
      <c r="P11" s="892"/>
      <c r="Q11" s="1856"/>
      <c r="R11" s="1913"/>
      <c r="S11" s="1898"/>
      <c r="T11" s="1899"/>
      <c r="U11" s="1900"/>
      <c r="V11" s="1900"/>
      <c r="W11" s="1900"/>
      <c r="X11" s="1900"/>
      <c r="Y11" s="1900"/>
      <c r="Z11" s="1900"/>
      <c r="AA11" s="1900"/>
      <c r="AB11" s="1900"/>
      <c r="AC11" s="1900"/>
      <c r="AD11" s="1900"/>
      <c r="AE11" s="1900"/>
      <c r="AF11" s="1900"/>
      <c r="AG11" s="1900"/>
      <c r="AH11" s="1900"/>
      <c r="AI11" s="1900"/>
      <c r="AJ11" s="1900"/>
      <c r="AK11" s="1901"/>
      <c r="AM11" s="2136"/>
      <c r="AN11" s="2136" t="str">
        <f>IF(T11="","",T11)</f>
        <v/>
      </c>
      <c r="AO11" s="2136"/>
      <c r="AP11" s="2136"/>
      <c r="AQ11" s="2148">
        <v>0</v>
      </c>
    </row>
    <row s="50882" customFormat="1" customHeight="1" ht="0.75" hidden="1">
      <c r="A12" s="1887"/>
      <c r="B12" s="1887"/>
      <c r="C12" s="1887"/>
      <c r="D12" s="1886"/>
      <c r="E12" s="2802"/>
      <c r="F12" s="2802"/>
      <c r="G12" s="2801"/>
      <c r="H12" s="1886"/>
      <c r="I12" s="1886"/>
      <c r="J12" s="1886"/>
      <c r="K12" s="1886"/>
      <c r="L12" s="1889"/>
      <c r="M12" s="1890"/>
      <c r="N12" s="1890"/>
      <c r="O12" s="863"/>
      <c r="P12" s="1828"/>
      <c r="Q12" s="1829"/>
      <c r="R12" s="1828"/>
      <c r="S12" s="1834"/>
      <c r="T12" s="1837" t="s">
        <v>553</v>
      </c>
      <c r="U12" s="1836"/>
      <c r="V12" s="1836"/>
      <c r="W12" s="1836"/>
      <c r="X12" s="1836"/>
      <c r="Y12" s="1836"/>
      <c r="Z12" s="1836"/>
      <c r="AA12" s="1836"/>
      <c r="AB12" s="1836"/>
      <c r="AC12" s="1836"/>
      <c r="AD12" s="1836"/>
      <c r="AE12" s="1836"/>
      <c r="AF12" s="1836"/>
      <c r="AG12" s="1836"/>
      <c r="AH12" s="1836"/>
      <c r="AI12" s="1836"/>
      <c r="AJ12" s="1836"/>
      <c r="AK12" s="1836"/>
      <c r="AM12" s="1763"/>
      <c r="AN12" s="1763" t="str">
        <f>IF(T12="","",T12)</f>
        <v>Добавить источник для дифференциации</v>
      </c>
      <c r="AO12" s="1763"/>
      <c r="AP12" s="1763"/>
      <c r="AQ12" s="2154">
        <v>0</v>
      </c>
    </row>
    <row s="50882" customFormat="1" customHeight="1" ht="0.75" hidden="1">
      <c r="A13" s="1887"/>
      <c r="B13" s="1887"/>
      <c r="C13" s="1886"/>
      <c r="D13" s="1886"/>
      <c r="E13" s="2802"/>
      <c r="F13" s="2801"/>
      <c r="G13" s="1886"/>
      <c r="H13" s="1886"/>
      <c r="I13" s="1886"/>
      <c r="J13" s="1886"/>
      <c r="K13" s="1886"/>
      <c r="L13" s="1889"/>
      <c r="M13" s="1891"/>
      <c r="N13" s="1891"/>
      <c r="O13" s="863"/>
      <c r="P13" s="1828"/>
      <c r="Q13" s="1829"/>
      <c r="R13" s="1828"/>
      <c r="S13" s="1834"/>
      <c r="T13" s="1837" t="s">
        <v>290</v>
      </c>
      <c r="U13" s="1836"/>
      <c r="V13" s="1836"/>
      <c r="W13" s="1836"/>
      <c r="X13" s="1836"/>
      <c r="Y13" s="1836"/>
      <c r="Z13" s="1836"/>
      <c r="AA13" s="1836"/>
      <c r="AB13" s="1836"/>
      <c r="AC13" s="1836"/>
      <c r="AD13" s="1836"/>
      <c r="AE13" s="1836"/>
      <c r="AF13" s="1836"/>
      <c r="AG13" s="1836"/>
      <c r="AH13" s="1836"/>
      <c r="AI13" s="1836"/>
      <c r="AJ13" s="1836"/>
      <c r="AK13" s="1836"/>
      <c r="AM13" s="1763"/>
      <c r="AN13" s="1763" t="str">
        <f>IF(T13="","",T13)</f>
        <v>Добавить централизованную систему для дифференциации</v>
      </c>
      <c r="AO13" s="1763"/>
      <c r="AP13" s="1763"/>
      <c r="AQ13" s="2154">
        <v>0</v>
      </c>
    </row>
    <row s="50882" customFormat="1" customHeight="1" ht="0.75" hidden="1">
      <c r="A14" s="1887"/>
      <c r="B14" s="1887"/>
      <c r="C14" s="1887"/>
      <c r="D14" s="1887"/>
      <c r="E14" s="2801"/>
      <c r="F14" s="1887"/>
      <c r="G14" s="1887"/>
      <c r="H14" s="1887"/>
      <c r="I14" s="1887"/>
      <c r="J14" s="1887"/>
      <c r="K14" s="1887"/>
      <c r="L14" s="1893"/>
      <c r="M14" s="1891"/>
      <c r="N14" s="1891"/>
      <c r="O14" s="863"/>
      <c r="P14" s="892"/>
      <c r="Q14" s="1856"/>
      <c r="R14" s="892"/>
      <c r="S14" s="1834"/>
      <c r="T14" s="1837" t="s">
        <v>365</v>
      </c>
      <c r="U14" s="1836"/>
      <c r="V14" s="1836"/>
      <c r="W14" s="1836"/>
      <c r="X14" s="1836"/>
      <c r="Y14" s="1836"/>
      <c r="Z14" s="1836"/>
      <c r="AA14" s="1836"/>
      <c r="AB14" s="1836"/>
      <c r="AC14" s="1836"/>
      <c r="AD14" s="1836"/>
      <c r="AE14" s="1836"/>
      <c r="AF14" s="1836"/>
      <c r="AG14" s="1836"/>
      <c r="AH14" s="1836"/>
      <c r="AI14" s="1836"/>
      <c r="AJ14" s="1836"/>
      <c r="AK14" s="1836"/>
      <c r="AM14" s="2136"/>
      <c r="AN14" s="2136" t="str">
        <f>IF(T14="","",T14)</f>
        <v>Добавить территорию для дифференциации</v>
      </c>
      <c r="AO14" s="2136"/>
      <c r="AP14" s="2136"/>
      <c r="AQ14" s="2148">
        <v>0</v>
      </c>
    </row>
    <row customHeight="1" ht="14.25" hidden="1">
      <c r="AQ15" s="2143">
        <v>0</v>
      </c>
    </row>
    <row customHeight="1" ht="14.25" hidden="1">
      <c r="AC16" s="2014"/>
      <c r="AD16" s="1915"/>
      <c r="AE16" s="1916"/>
      <c r="AF16" s="2248"/>
      <c r="AG16" s="2478" t="s">
        <v>63</v>
      </c>
      <c r="AH16" s="2248"/>
      <c r="AI16" s="2478" t="s">
        <v>63</v>
      </c>
      <c r="AQ16" s="2143">
        <v>0</v>
      </c>
    </row>
    <row customHeight="1" ht="14.25" hidden="1">
      <c r="AL17" s="2153"/>
      <c r="AM17" s="2153"/>
      <c r="AN17" s="2153"/>
      <c r="AO17" s="2153"/>
      <c r="AP17" s="2153"/>
      <c r="AQ17" s="2143">
        <v>0</v>
      </c>
    </row>
    <row customHeight="1" ht="14.25" hidden="1">
      <c r="O18" s="1857" t="s">
        <v>554</v>
      </c>
      <c r="X18" s="1857"/>
      <c r="Z18" s="1857"/>
      <c r="AF18" s="1857"/>
      <c r="AH18" s="1857"/>
      <c r="AL18" s="2153"/>
      <c r="AM18" s="2153"/>
      <c r="AN18" s="2153"/>
      <c r="AO18" s="2153"/>
      <c r="AP18" s="2153"/>
      <c r="AQ18" s="2143">
        <v>0</v>
      </c>
    </row>
    <row customHeight="1" ht="14.25" hidden="1">
      <c r="AL19" s="2153"/>
      <c r="AM19" s="2153"/>
      <c r="AN19" s="2153"/>
      <c r="AO19" s="2153"/>
      <c r="AP19" s="2153"/>
      <c r="AQ19" s="2143">
        <v>0</v>
      </c>
    </row>
    <row s="51963" customFormat="1" customHeight="1" ht="14.25" hidden="1">
      <c r="A20" s="2483"/>
      <c r="B20" s="2483"/>
      <c r="C20" s="2483"/>
      <c r="D20" s="2483"/>
      <c r="E20" s="2483"/>
      <c r="F20" s="2483"/>
      <c r="G20" s="2483"/>
      <c r="H20" s="2483"/>
      <c r="I20" s="2483"/>
      <c r="J20" s="2483"/>
      <c r="K20" s="2483"/>
      <c r="L20" s="2483"/>
      <c r="M20" s="2484"/>
      <c r="N20" s="2484"/>
      <c r="O20" s="2485" t="s">
        <v>555</v>
      </c>
      <c r="P20" s="2020"/>
      <c r="Q20" s="2022"/>
      <c r="R20" s="2022"/>
      <c r="Y20" s="2019" t="s">
        <v>557</v>
      </c>
      <c r="AA20" s="2019" t="s">
        <v>558</v>
      </c>
      <c r="AC20" s="2019" t="s">
        <v>606</v>
      </c>
      <c r="AG20" s="2019" t="s">
        <v>557</v>
      </c>
      <c r="AI20" s="2019" t="s">
        <v>558</v>
      </c>
      <c r="AL20" s="2023"/>
      <c r="AM20" s="2023"/>
      <c r="AN20" s="2023"/>
      <c r="AO20" s="2023"/>
      <c r="AP20" s="2023"/>
      <c r="AQ20" s="2019">
        <v>0</v>
      </c>
    </row>
    <row customHeight="1" ht="14.25" hidden="1">
      <c r="O21" s="1822"/>
      <c r="AL21" s="2153"/>
      <c r="AM21" s="2153"/>
      <c r="AN21" s="2153"/>
      <c r="AO21" s="2153"/>
      <c r="AP21" s="2153"/>
      <c r="AQ21" s="2143">
        <v>0</v>
      </c>
    </row>
    <row customHeight="1" ht="14.25" hidden="1">
      <c r="O22" s="1822"/>
      <c r="AL22" s="2153"/>
      <c r="AM22" s="2153"/>
      <c r="AN22" s="2153"/>
      <c r="AO22" s="2153"/>
      <c r="AP22" s="2153"/>
      <c r="AQ22" s="2143">
        <v>0</v>
      </c>
    </row>
    <row customHeight="1" ht="14.699999999999998">
      <c r="Q23" s="803"/>
      <c r="R23" s="888"/>
      <c r="S23" s="1787"/>
      <c r="T23" s="969"/>
      <c r="U23" s="969"/>
      <c r="V23" s="2147"/>
      <c r="W23" s="2147"/>
      <c r="X23" s="2147"/>
      <c r="Y23" s="2147"/>
      <c r="Z23" s="2147"/>
      <c r="AA23" s="2147"/>
      <c r="AB23" s="2147"/>
      <c r="AC23" s="2147"/>
      <c r="AD23" s="2147"/>
      <c r="AE23" s="2147"/>
      <c r="AF23" s="2147"/>
      <c r="AG23" s="2147"/>
      <c r="AH23" s="2147"/>
      <c r="AI23" s="2147"/>
      <c r="AQ23" s="2143">
        <v>14</v>
      </c>
    </row>
    <row customHeight="1" ht="39.75">
      <c r="Q24" s="803"/>
      <c r="R24" s="888"/>
      <c r="S24" s="27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60"/>
      <c r="U24" s="2760"/>
      <c r="V24" s="2760"/>
      <c r="W24" s="2760"/>
      <c r="X24" s="2760"/>
      <c r="Y24" s="2760"/>
      <c r="Z24" s="2760"/>
      <c r="AA24" s="2760"/>
      <c r="AB24" s="2760"/>
      <c r="AC24" s="2760"/>
      <c r="AD24" s="2760"/>
      <c r="AE24" s="2760"/>
      <c r="AF24" s="2760"/>
      <c r="AG24" s="2760"/>
      <c r="AH24" s="2760"/>
      <c r="AI24" s="1755"/>
      <c r="AQ24" s="2143">
        <v>38</v>
      </c>
    </row>
    <row customHeight="1" ht="14.699999999999998">
      <c r="Q25" s="803"/>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2143">
        <v>14</v>
      </c>
    </row>
    <row customHeight="1" ht="14.25" hidden="1">
      <c r="Q26" s="803"/>
      <c r="R26" s="888"/>
      <c r="S26" s="1787"/>
      <c r="T26" s="969"/>
      <c r="U26" s="969"/>
      <c r="V26" s="834"/>
      <c r="W26" s="834"/>
      <c r="X26" s="834"/>
      <c r="Y26" s="834"/>
      <c r="Z26" s="834"/>
      <c r="AA26" s="834"/>
      <c r="AB26" s="834"/>
      <c r="AC26" s="834"/>
      <c r="AD26" s="834"/>
      <c r="AE26" s="834"/>
      <c r="AF26" s="834"/>
      <c r="AG26" s="834"/>
      <c r="AH26" s="834"/>
      <c r="AI26" s="834"/>
      <c r="AJ26" s="2147"/>
      <c r="AQ26" s="2143">
        <v>0</v>
      </c>
    </row>
    <row s="51018" customFormat="1" customHeight="1" ht="25.5" hidden="1">
      <c r="A27" s="1760"/>
      <c r="B27" s="1760"/>
      <c r="C27" s="1760"/>
      <c r="D27" s="1760"/>
      <c r="E27" s="1760"/>
      <c r="F27" s="1760"/>
      <c r="G27" s="1760"/>
      <c r="H27" s="1760"/>
      <c r="I27" s="1760"/>
      <c r="J27" s="1760"/>
      <c r="K27" s="1760"/>
      <c r="L27" s="1892"/>
      <c r="M27" s="1760"/>
      <c r="N27" s="1760"/>
      <c r="O27" s="1760"/>
      <c r="P27" s="1880"/>
      <c r="Q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147"/>
      <c r="AB27" s="2147"/>
      <c r="AC27" s="2763"/>
      <c r="AD27" s="2763"/>
      <c r="AE27" s="2763"/>
      <c r="AF27" s="2763"/>
      <c r="AG27" s="2763"/>
      <c r="AH27" s="2763"/>
      <c r="AI27" s="2147"/>
      <c r="AJ27" s="2147"/>
      <c r="AK27" s="792"/>
      <c r="AL27" s="880"/>
      <c r="AM27" s="880"/>
      <c r="AN27" s="880"/>
      <c r="AO27" s="880"/>
      <c r="AP27" s="880"/>
      <c r="AQ27" s="930">
        <v>0</v>
      </c>
    </row>
    <row s="51018" customFormat="1" customHeight="1" ht="18.75" hidden="1">
      <c r="A28" s="1760"/>
      <c r="B28" s="1760"/>
      <c r="C28" s="1760"/>
      <c r="D28" s="1760"/>
      <c r="E28" s="1760"/>
      <c r="F28" s="1760"/>
      <c r="G28" s="1760"/>
      <c r="H28" s="1760"/>
      <c r="I28" s="1760"/>
      <c r="J28" s="1760"/>
      <c r="K28" s="1760"/>
      <c r="L28" s="1892"/>
      <c r="M28" s="1760"/>
      <c r="N28" s="1760"/>
      <c r="O28" s="1760"/>
      <c r="P28" s="1880"/>
      <c r="Q28" s="1880"/>
      <c r="S28" s="2762" t="s">
        <v>560</v>
      </c>
      <c r="T28" s="2762"/>
      <c r="U28" s="1884"/>
      <c r="V28" s="2776" t="str">
        <f>IF(TITLE_DATE_PR_CHANGE="",IF(TITLE_DATE_PR="","",TITLE_DATE_PR),TITLE_DATE_PR_CHANGE)</f>
        <v>45631.710694444446</v>
      </c>
      <c r="W28" s="2776"/>
      <c r="X28" s="2776"/>
      <c r="Y28" s="2776"/>
      <c r="Z28" s="2776"/>
      <c r="AA28" s="2147"/>
      <c r="AB28" s="2147"/>
      <c r="AC28" s="2776"/>
      <c r="AD28" s="2776"/>
      <c r="AE28" s="2776"/>
      <c r="AF28" s="2776"/>
      <c r="AG28" s="2776"/>
      <c r="AH28" s="2776"/>
      <c r="AI28" s="2147"/>
      <c r="AJ28" s="2147"/>
      <c r="AK28" s="792"/>
      <c r="AL28" s="880"/>
      <c r="AM28" s="880"/>
      <c r="AN28" s="880"/>
      <c r="AO28" s="880"/>
      <c r="AP28" s="880"/>
      <c r="AQ28" s="930">
        <v>0</v>
      </c>
    </row>
    <row s="51018" customFormat="1" customHeight="1" ht="18.75" hidden="1">
      <c r="A29" s="1760"/>
      <c r="B29" s="1760"/>
      <c r="C29" s="1760"/>
      <c r="D29" s="1760"/>
      <c r="E29" s="1760"/>
      <c r="F29" s="1760"/>
      <c r="G29" s="1760"/>
      <c r="H29" s="1760"/>
      <c r="I29" s="1760"/>
      <c r="J29" s="1760"/>
      <c r="K29" s="1760"/>
      <c r="L29" s="1892"/>
      <c r="M29" s="1760"/>
      <c r="N29" s="1760"/>
      <c r="O29" s="1760"/>
      <c r="P29" s="1880"/>
      <c r="Q29" s="1880"/>
      <c r="S29" s="2762" t="s">
        <v>561</v>
      </c>
      <c r="T29" s="2762"/>
      <c r="U29" s="1884"/>
      <c r="V29" s="2763" t="str">
        <f>IF(TITLE_NUMBER_PR_CHANGE="",IF(TITLE_NUMBER_PR="","",TITLE_NUMBER_PR),TITLE_NUMBER_PR_CHANGE)</f>
        <v>53/9</v>
      </c>
      <c r="W29" s="2763"/>
      <c r="X29" s="2763"/>
      <c r="Y29" s="2763"/>
      <c r="Z29" s="2763"/>
      <c r="AA29" s="2147"/>
      <c r="AB29" s="2147"/>
      <c r="AC29" s="2763"/>
      <c r="AD29" s="2763"/>
      <c r="AE29" s="2763"/>
      <c r="AF29" s="2763"/>
      <c r="AG29" s="2763"/>
      <c r="AH29" s="2763"/>
      <c r="AI29" s="2147"/>
      <c r="AJ29" s="2147"/>
      <c r="AK29" s="792"/>
      <c r="AL29" s="880"/>
      <c r="AM29" s="880"/>
      <c r="AN29" s="880"/>
      <c r="AO29" s="880"/>
      <c r="AP29" s="880"/>
      <c r="AQ29" s="930">
        <v>0</v>
      </c>
    </row>
    <row s="51018" customFormat="1" customHeight="1" ht="18.75" hidden="1">
      <c r="A30" s="1760"/>
      <c r="B30" s="1760"/>
      <c r="C30" s="1760"/>
      <c r="D30" s="1760"/>
      <c r="E30" s="1760"/>
      <c r="F30" s="1760"/>
      <c r="G30" s="1760"/>
      <c r="H30" s="1760"/>
      <c r="I30" s="1760"/>
      <c r="J30" s="1760"/>
      <c r="K30" s="1760"/>
      <c r="L30" s="1892"/>
      <c r="M30" s="1760"/>
      <c r="N30" s="1760"/>
      <c r="O30" s="1760"/>
      <c r="P30" s="1880"/>
      <c r="Q30" s="1880"/>
      <c r="S30" s="2762" t="s">
        <v>44</v>
      </c>
      <c r="T30" s="2762"/>
      <c r="U30" s="1884"/>
      <c r="V30" s="2763" t="str">
        <f>IF(TITLE_IST_PUB_CHANGE="",IF(TITLE_IST_PUB="","",TITLE_IST_PUB),TITLE_IST_PUB_CHANGE)</f>
        <v>http://pravo.gov.ru</v>
      </c>
      <c r="W30" s="2763"/>
      <c r="X30" s="2763"/>
      <c r="Y30" s="2763"/>
      <c r="Z30" s="2763"/>
      <c r="AA30" s="2147"/>
      <c r="AB30" s="2147"/>
      <c r="AC30" s="2763"/>
      <c r="AD30" s="2763"/>
      <c r="AE30" s="2763"/>
      <c r="AF30" s="2763"/>
      <c r="AG30" s="2763"/>
      <c r="AH30" s="2763"/>
      <c r="AI30" s="2147"/>
      <c r="AJ30" s="2147"/>
      <c r="AK30" s="792"/>
      <c r="AL30" s="880"/>
      <c r="AM30" s="880"/>
      <c r="AN30" s="880"/>
      <c r="AO30" s="880"/>
      <c r="AP30" s="880"/>
      <c r="AQ30" s="930">
        <v>0</v>
      </c>
    </row>
    <row customHeight="1" ht="14.25" hidden="1">
      <c r="Q31" s="803"/>
      <c r="R31" s="888"/>
      <c r="S31" s="1787"/>
      <c r="T31" s="969"/>
      <c r="U31" s="969"/>
      <c r="V31" s="834"/>
      <c r="W31" s="834"/>
      <c r="X31" s="834"/>
      <c r="Y31" s="834"/>
      <c r="Z31" s="834"/>
      <c r="AA31" s="834"/>
      <c r="AB31" s="834"/>
      <c r="AC31" s="834"/>
      <c r="AD31" s="834"/>
      <c r="AE31" s="834"/>
      <c r="AF31" s="834"/>
      <c r="AG31" s="834"/>
      <c r="AH31" s="834"/>
      <c r="AI31" s="834"/>
      <c r="AJ31" s="2147"/>
      <c r="AQ31" s="2143">
        <v>0</v>
      </c>
    </row>
    <row s="51018" customFormat="1" customHeight="1" ht="18.75" hidden="1">
      <c r="A32" s="1760"/>
      <c r="B32" s="1760"/>
      <c r="C32" s="1760"/>
      <c r="D32" s="1760"/>
      <c r="E32" s="1760"/>
      <c r="F32" s="1760"/>
      <c r="G32" s="1760"/>
      <c r="H32" s="1760"/>
      <c r="I32" s="1760"/>
      <c r="J32" s="1760"/>
      <c r="K32" s="1760"/>
      <c r="L32" s="1892"/>
      <c r="M32" s="1760"/>
      <c r="N32" s="1760"/>
      <c r="O32" s="1760"/>
      <c r="P32" s="1880"/>
      <c r="Q32" s="1880"/>
      <c r="S32" s="2762" t="s">
        <v>560</v>
      </c>
      <c r="T32" s="2762"/>
      <c r="U32" s="1884"/>
      <c r="V32" s="2776" t="str">
        <f>IF(TITLE_DATE_PR_CHANGE="",IF(TITLE_DATE_PR="","",TITLE_DATE_PR),TITLE_DATE_PR_CHANGE)</f>
        <v>45631.710694444446</v>
      </c>
      <c r="W32" s="2776"/>
      <c r="X32" s="2776"/>
      <c r="Y32" s="2776"/>
      <c r="Z32" s="2776"/>
      <c r="AA32" s="2147"/>
      <c r="AB32" s="2147"/>
      <c r="AC32" s="2776"/>
      <c r="AD32" s="2776"/>
      <c r="AE32" s="2776"/>
      <c r="AF32" s="2776"/>
      <c r="AG32" s="2776"/>
      <c r="AH32" s="2776"/>
      <c r="AI32" s="2147"/>
      <c r="AJ32" s="2147"/>
      <c r="AK32" s="792"/>
      <c r="AL32" s="880"/>
      <c r="AM32" s="880"/>
      <c r="AN32" s="880"/>
      <c r="AO32" s="880"/>
      <c r="AP32" s="880"/>
      <c r="AQ32" s="930">
        <v>0</v>
      </c>
    </row>
    <row s="51018" customFormat="1" customHeight="1" ht="18" hidden="1">
      <c r="A33" s="1760"/>
      <c r="B33" s="1760"/>
      <c r="C33" s="1760"/>
      <c r="D33" s="1760"/>
      <c r="E33" s="1760"/>
      <c r="F33" s="1760"/>
      <c r="G33" s="1760"/>
      <c r="H33" s="1760"/>
      <c r="I33" s="1760"/>
      <c r="J33" s="1760"/>
      <c r="K33" s="1760"/>
      <c r="L33" s="1892"/>
      <c r="M33" s="1760"/>
      <c r="N33" s="1760"/>
      <c r="O33" s="1760"/>
      <c r="P33" s="1880"/>
      <c r="Q33" s="1880"/>
      <c r="S33" s="2762" t="s">
        <v>561</v>
      </c>
      <c r="T33" s="2762"/>
      <c r="U33" s="1884"/>
      <c r="V33" s="2763" t="str">
        <f>IF(TITLE_NUMBER_PR_CHANGE="",IF(TITLE_NUMBER_PR="","",TITLE_NUMBER_PR),TITLE_NUMBER_PR_CHANGE)</f>
        <v>53/9</v>
      </c>
      <c r="W33" s="2763"/>
      <c r="X33" s="2763"/>
      <c r="Y33" s="2763"/>
      <c r="Z33" s="2763"/>
      <c r="AA33" s="2147"/>
      <c r="AB33" s="2147"/>
      <c r="AC33" s="2763"/>
      <c r="AD33" s="2763"/>
      <c r="AE33" s="2763"/>
      <c r="AF33" s="2763"/>
      <c r="AG33" s="2763"/>
      <c r="AH33" s="2763"/>
      <c r="AI33" s="2147"/>
      <c r="AJ33" s="2147"/>
      <c r="AK33" s="792"/>
      <c r="AL33" s="880"/>
      <c r="AM33" s="880"/>
      <c r="AN33" s="880"/>
      <c r="AO33" s="880"/>
      <c r="AP33" s="880"/>
      <c r="AQ33" s="930">
        <v>0</v>
      </c>
    </row>
    <row s="51018" customFormat="1" customHeight="1" ht="1.05">
      <c r="A34" s="1760"/>
      <c r="B34" s="1760"/>
      <c r="C34" s="1760"/>
      <c r="D34" s="1760"/>
      <c r="E34" s="1760"/>
      <c r="F34" s="1760"/>
      <c r="G34" s="1760"/>
      <c r="H34" s="1760"/>
      <c r="I34" s="1760"/>
      <c r="J34" s="1760"/>
      <c r="K34" s="1760"/>
      <c r="L34" s="1892"/>
      <c r="M34" s="1760"/>
      <c r="N34" s="1760"/>
      <c r="O34" s="1760"/>
      <c r="P34" s="1880"/>
      <c r="Q34" s="1880"/>
      <c r="S34" s="2147"/>
      <c r="T34" s="2147"/>
      <c r="U34" s="2482"/>
      <c r="V34" s="2147"/>
      <c r="W34" s="2147"/>
      <c r="X34" s="2147"/>
      <c r="Y34" s="2147"/>
      <c r="Z34" s="2147"/>
      <c r="AA34" s="2154" t="s">
        <v>564</v>
      </c>
      <c r="AB34" s="2154"/>
      <c r="AC34" s="2147"/>
      <c r="AD34" s="2147"/>
      <c r="AE34" s="2147"/>
      <c r="AF34" s="2147"/>
      <c r="AG34" s="2147"/>
      <c r="AH34" s="2147"/>
      <c r="AI34" s="2154" t="s">
        <v>564</v>
      </c>
      <c r="AL34" s="880"/>
      <c r="AM34" s="880"/>
      <c r="AN34" s="880"/>
      <c r="AO34" s="880"/>
      <c r="AP34" s="880"/>
      <c r="AQ34" s="930">
        <v>1</v>
      </c>
    </row>
    <row customHeight="1" ht="14.699999999999998">
      <c r="Q35" s="803"/>
      <c r="R35" s="888"/>
      <c r="S35" s="1787"/>
      <c r="T35" s="969"/>
      <c r="U35" s="1756"/>
      <c r="V35" s="2764"/>
      <c r="W35" s="2764"/>
      <c r="X35" s="2764"/>
      <c r="Y35" s="2764"/>
      <c r="Z35" s="2764"/>
      <c r="AA35" s="2764"/>
      <c r="AB35" s="2469"/>
      <c r="AC35" s="2764"/>
      <c r="AD35" s="2764"/>
      <c r="AE35" s="2764"/>
      <c r="AF35" s="2764"/>
      <c r="AG35" s="2764"/>
      <c r="AH35" s="2764"/>
      <c r="AI35" s="2764"/>
      <c r="AQ35" s="2143">
        <v>14</v>
      </c>
    </row>
    <row customHeight="1" ht="14.699999999999998">
      <c r="Q36" s="803"/>
      <c r="R36" s="888"/>
      <c r="S36" s="2639" t="s">
        <v>439</v>
      </c>
      <c r="T36" s="2639"/>
      <c r="U36" s="2639"/>
      <c r="V36" s="2639"/>
      <c r="W36" s="2639"/>
      <c r="X36" s="2639"/>
      <c r="Y36" s="2639"/>
      <c r="Z36" s="2639"/>
      <c r="AA36" s="2687"/>
      <c r="AB36" s="2687"/>
      <c r="AC36" s="2687"/>
      <c r="AD36" s="2639"/>
      <c r="AE36" s="2639"/>
      <c r="AF36" s="2639"/>
      <c r="AG36" s="2639"/>
      <c r="AH36" s="2639"/>
      <c r="AI36" s="2639"/>
      <c r="AJ36" s="2639"/>
      <c r="AK36" s="2639" t="s">
        <v>440</v>
      </c>
      <c r="AQ36" s="2143">
        <v>14</v>
      </c>
    </row>
    <row customHeight="1" ht="14.699999999999998">
      <c r="Q37" s="803"/>
      <c r="R37" s="888"/>
      <c r="S37" s="2785" t="s">
        <v>90</v>
      </c>
      <c r="T37" s="2721" t="s">
        <v>637</v>
      </c>
      <c r="U37" s="849"/>
      <c r="V37" s="2787"/>
      <c r="W37" s="2787"/>
      <c r="X37" s="2787"/>
      <c r="Y37" s="2787"/>
      <c r="Z37" s="2787"/>
      <c r="AA37" s="2721" t="s">
        <v>567</v>
      </c>
      <c r="AB37" s="2720" t="s">
        <v>638</v>
      </c>
      <c r="AC37" s="2720" t="s">
        <v>610</v>
      </c>
      <c r="AD37" s="2803" t="s">
        <v>566</v>
      </c>
      <c r="AE37" s="2803"/>
      <c r="AF37" s="2787"/>
      <c r="AG37" s="2787"/>
      <c r="AH37" s="2788"/>
      <c r="AI37" s="2789" t="s">
        <v>567</v>
      </c>
      <c r="AJ37" s="2792" t="s">
        <v>569</v>
      </c>
      <c r="AK37" s="2639"/>
      <c r="AQ37" s="2143">
        <v>14</v>
      </c>
    </row>
    <row customHeight="1" ht="35.699999999999996">
      <c r="Q38" s="803"/>
      <c r="R38" s="888"/>
      <c r="S38" s="2785"/>
      <c r="T38" s="2721"/>
      <c r="U38" s="1543"/>
      <c r="V38" s="2615" t="s">
        <v>613</v>
      </c>
      <c r="W38" s="2639"/>
      <c r="X38" s="2806" t="s">
        <v>573</v>
      </c>
      <c r="Y38" s="2825"/>
      <c r="Z38" s="2825"/>
      <c r="AA38" s="2721"/>
      <c r="AB38" s="2720"/>
      <c r="AC38" s="2720"/>
      <c r="AD38" s="2615" t="s">
        <v>613</v>
      </c>
      <c r="AE38" s="2639"/>
      <c r="AF38" s="2825" t="s">
        <v>573</v>
      </c>
      <c r="AG38" s="2825"/>
      <c r="AH38" s="2826"/>
      <c r="AI38" s="2790"/>
      <c r="AJ38" s="2793"/>
      <c r="AK38" s="2639"/>
      <c r="AQ38" s="2143">
        <v>34</v>
      </c>
    </row>
    <row customHeight="1" ht="14.699999999999998">
      <c r="Q39" s="803"/>
      <c r="R39" s="888"/>
      <c r="S39" s="2785"/>
      <c r="T39" s="2721"/>
      <c r="U39" s="1543"/>
      <c r="V39" s="2852" t="str">
        <f>IF($AD$39&lt;&gt;"",$AD$39,"")</f>
        <v/>
      </c>
      <c r="W39" s="2852"/>
      <c r="X39" s="2807"/>
      <c r="Y39" s="2827"/>
      <c r="Z39" s="2827"/>
      <c r="AA39" s="2721"/>
      <c r="AB39" s="2720"/>
      <c r="AC39" s="2720"/>
      <c r="AD39" s="2868"/>
      <c r="AE39" s="2851"/>
      <c r="AF39" s="2827"/>
      <c r="AG39" s="2827"/>
      <c r="AH39" s="2828"/>
      <c r="AI39" s="2790"/>
      <c r="AJ39" s="2793"/>
      <c r="AK39" s="2639"/>
      <c r="AQ39" s="2143">
        <v>14</v>
      </c>
    </row>
    <row customHeight="1" ht="14.699999999999998">
      <c r="A40" s="1778"/>
      <c r="B40" s="1778" t="s">
        <v>201</v>
      </c>
      <c r="C40" s="1778" t="s">
        <v>202</v>
      </c>
      <c r="D40" s="1778" t="s">
        <v>203</v>
      </c>
      <c r="E40" s="1822" t="s">
        <v>574</v>
      </c>
      <c r="F40" s="1822" t="s">
        <v>575</v>
      </c>
      <c r="G40" s="1822" t="s">
        <v>576</v>
      </c>
      <c r="H40" s="1822" t="s">
        <v>577</v>
      </c>
      <c r="I40" s="1822" t="s">
        <v>578</v>
      </c>
      <c r="J40" s="1822" t="s">
        <v>579</v>
      </c>
      <c r="K40" s="1822" t="s">
        <v>580</v>
      </c>
      <c r="L40" s="1822" t="s">
        <v>555</v>
      </c>
      <c r="Q40" s="803"/>
      <c r="R40" s="888"/>
      <c r="S40" s="2785"/>
      <c r="T40" s="2721"/>
      <c r="U40" s="814"/>
      <c r="V40" s="2462" t="s">
        <v>614</v>
      </c>
      <c r="W40" s="2462" t="s">
        <v>615</v>
      </c>
      <c r="X40" s="2450" t="s">
        <v>583</v>
      </c>
      <c r="Y40" s="2782" t="s">
        <v>584</v>
      </c>
      <c r="Z40" s="2832"/>
      <c r="AA40" s="2721"/>
      <c r="AB40" s="2720"/>
      <c r="AC40" s="2720"/>
      <c r="AD40" s="2480" t="s">
        <v>614</v>
      </c>
      <c r="AE40" s="2471" t="s">
        <v>615</v>
      </c>
      <c r="AF40" s="2450" t="s">
        <v>583</v>
      </c>
      <c r="AG40" s="2782" t="s">
        <v>584</v>
      </c>
      <c r="AH40" s="2783"/>
      <c r="AI40" s="2791"/>
      <c r="AJ40" s="2794"/>
      <c r="AK40" s="2639"/>
      <c r="AQ40" s="2143">
        <v>14</v>
      </c>
    </row>
    <row s="51564" customFormat="1" customHeight="1" ht="11.25" hidden="1">
      <c r="A41" s="1778"/>
      <c r="B41" s="1778"/>
      <c r="C41" s="1778"/>
      <c r="D41" s="1778"/>
      <c r="E41" s="1778"/>
      <c r="F41" s="1778"/>
      <c r="G41" s="1778"/>
      <c r="H41" s="1778"/>
      <c r="I41" s="1778"/>
      <c r="J41" s="1778"/>
      <c r="K41" s="1778"/>
      <c r="L41" s="1822"/>
      <c r="M41" s="2477"/>
      <c r="N41" s="2477"/>
      <c r="O41" s="2477"/>
      <c r="P41" s="1022"/>
      <c r="Q41" s="1766"/>
      <c r="R41" s="1766">
        <v>1</v>
      </c>
      <c r="S41" s="1789" t="s">
        <v>101</v>
      </c>
      <c r="T41" s="1767" t="s">
        <v>105</v>
      </c>
      <c r="U41" s="1757" t="str">
        <f>OFFSET(U41,0,-1)</f>
        <v>2</v>
      </c>
      <c r="V41" s="2468">
        <f>OFFSET(V41,0,-1)+1</f>
        <v>3</v>
      </c>
      <c r="W41" s="2468">
        <f>OFFSET(W41,0,-1)+1</f>
        <v>4</v>
      </c>
      <c r="X41" s="2468">
        <f>OFFSET(X41,0,-1)+1</f>
        <v>5</v>
      </c>
      <c r="Y41" s="2784">
        <f>OFFSET(Y41,0,-1)+1</f>
        <v>6</v>
      </c>
      <c r="Z41" s="2784"/>
      <c r="AA41" s="1853">
        <f>OFFSET(AA41,0,-2)+1</f>
        <v>7</v>
      </c>
      <c r="AB41" s="1853"/>
      <c r="AC41" s="1853"/>
      <c r="AD41" s="2468">
        <f>OFFSET(AD41,0,-1)+1</f>
        <v>1</v>
      </c>
      <c r="AE41" s="2468">
        <f>OFFSET(AE41,0,-1)+1</f>
        <v>2</v>
      </c>
      <c r="AF41" s="2468">
        <f>OFFSET(AF41,0,-1)+1</f>
        <v>3</v>
      </c>
      <c r="AG41" s="2784">
        <f>OFFSET(AG41,0,-1)+1</f>
        <v>4</v>
      </c>
      <c r="AH41" s="2784"/>
      <c r="AI41" s="2468">
        <f>OFFSET(AI41,0,-2)+1</f>
        <v>5</v>
      </c>
      <c r="AJ41" s="1757">
        <f>OFFSET(AJ41,0,-1)</f>
        <v>5</v>
      </c>
      <c r="AK41" s="2468">
        <f>OFFSET(AK41,0,-1)+1</f>
        <v>6</v>
      </c>
      <c r="AL41" s="2148"/>
      <c r="AM41" s="2148"/>
      <c r="AN41" s="2148"/>
      <c r="AO41" s="2148"/>
      <c r="AP41" s="2148"/>
      <c r="AQ41" s="2153">
        <v>0</v>
      </c>
    </row>
    <row customHeight="1" ht="107.25">
      <c r="A42" s="1779" t="s">
        <v>264</v>
      </c>
      <c r="B42" s="1779"/>
      <c r="C42" s="1779"/>
      <c r="D42" s="1779"/>
      <c r="E42" s="2801">
        <v>1</v>
      </c>
      <c r="F42" s="1779"/>
      <c r="G42" s="1779"/>
      <c r="H42" s="1779"/>
      <c r="I42" s="1779"/>
      <c r="J42" s="1779"/>
      <c r="K42" s="1779"/>
      <c r="L42" s="1822"/>
      <c r="M42" s="2122"/>
      <c r="N42" s="2122"/>
      <c r="O42" s="2122"/>
      <c r="P42" s="1921"/>
      <c r="Q42" s="1385"/>
      <c r="R42" s="867"/>
      <c r="S42" s="2470">
        <f>INDEX(PT_DIFFERENTIATION_NUM_NTAR,MATCH(A42,PT_DIFFERENTIATION_NTAR_ID,0))</f>
        <v>0</v>
      </c>
      <c r="T42" s="2037" t="s">
        <v>189</v>
      </c>
      <c r="U42" s="812"/>
      <c r="V42" s="2755"/>
      <c r="W42" s="2755"/>
      <c r="X42" s="2755"/>
      <c r="Y42" s="2755"/>
      <c r="Z42" s="2755"/>
      <c r="AA42" s="2756"/>
      <c r="AB42" s="2464"/>
      <c r="AC42" s="2755" t="str">
        <f>INDEX(PT_DIFFERENTIATION_NTAR,MATCH(A42,PT_DIFFERENTIATION_NTAR_ID,0))</f>
        <v/>
      </c>
      <c r="AD42" s="2755"/>
      <c r="AE42" s="2755"/>
      <c r="AF42" s="2755"/>
      <c r="AG42" s="2755"/>
      <c r="AH42" s="2755"/>
      <c r="AI42" s="2755"/>
      <c r="AJ42" s="2756"/>
      <c r="AK42"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2136"/>
      <c r="AN42" s="2136" t="str">
        <f>IF(T42="","",T42)</f>
        <v>Наименование тарифа</v>
      </c>
      <c r="AO42" s="2136"/>
      <c r="AP42" s="2136"/>
      <c r="AQ42" s="2143">
        <v>102</v>
      </c>
    </row>
    <row customHeight="1" ht="22.049999999999997">
      <c r="A43" s="1779" t="s">
        <v>264</v>
      </c>
      <c r="B43" s="1779" t="s">
        <v>265</v>
      </c>
      <c r="C43" s="1779"/>
      <c r="D43" s="1779"/>
      <c r="E43" s="2802"/>
      <c r="F43" s="2801">
        <v>1</v>
      </c>
      <c r="G43" s="1779"/>
      <c r="H43" s="1779"/>
      <c r="I43" s="1779"/>
      <c r="J43" s="1779"/>
      <c r="K43" s="1779"/>
      <c r="L43" s="1822"/>
      <c r="M43" s="2122"/>
      <c r="N43" s="2122"/>
      <c r="O43" s="2122"/>
      <c r="P43" s="2481"/>
      <c r="Q43" s="1923"/>
      <c r="R43" s="865"/>
      <c r="S43" s="2470" t="str">
        <f>INDEX(PT_DIFFERENTIATION_NUM_TER,MATCH(B43,PT_DIFFERENTIATION_TER_ID,0))</f>
        <v>.</v>
      </c>
      <c r="T43" s="2034" t="s">
        <v>536</v>
      </c>
      <c r="U43" s="812"/>
      <c r="V43" s="2755"/>
      <c r="W43" s="2755"/>
      <c r="X43" s="2755"/>
      <c r="Y43" s="2755"/>
      <c r="Z43" s="2755"/>
      <c r="AA43" s="2756"/>
      <c r="AB43" s="2464"/>
      <c r="AC43" s="2755" t="str">
        <f>INDEX(PT_DIFFERENTIATION_TER,MATCH(B43,PT_DIFFERENTIATION_TER_ID,0))</f>
        <v/>
      </c>
      <c r="AD43" s="2755"/>
      <c r="AE43" s="2755"/>
      <c r="AF43" s="2755"/>
      <c r="AG43" s="2755"/>
      <c r="AH43" s="2755"/>
      <c r="AI43" s="2755"/>
      <c r="AJ43" s="2756"/>
      <c r="AK43" s="1770" t="s">
        <v>537</v>
      </c>
      <c r="AM43" s="2136"/>
      <c r="AN43" s="2136" t="str">
        <f>IF(T43="","",T43)</f>
        <v>Территория действия тарифа</v>
      </c>
      <c r="AO43" s="2136"/>
      <c r="AP43" s="2136"/>
      <c r="AQ43" s="2143">
        <v>21</v>
      </c>
    </row>
    <row customHeight="1" ht="24">
      <c r="A44" s="1779" t="s">
        <v>264</v>
      </c>
      <c r="B44" s="1779" t="s">
        <v>265</v>
      </c>
      <c r="C44" s="1779" t="s">
        <v>266</v>
      </c>
      <c r="D44" s="1779"/>
      <c r="E44" s="2802"/>
      <c r="F44" s="2802"/>
      <c r="G44" s="2801">
        <v>1</v>
      </c>
      <c r="H44" s="1779"/>
      <c r="I44" s="1779"/>
      <c r="J44" s="1779"/>
      <c r="K44" s="1779"/>
      <c r="L44" s="1822"/>
      <c r="M44" s="2122"/>
      <c r="N44" s="2122"/>
      <c r="O44" s="2122"/>
      <c r="P44" s="1924"/>
      <c r="Q44" s="1923"/>
      <c r="R44" s="865"/>
      <c r="S44" s="2470" t="str">
        <f>INDEX(PT_DIFFERENTIATION_NUM_CS,MATCH(C44,PT_DIFFERENTIATION_CS_ID,0))</f>
        <v>..</v>
      </c>
      <c r="T44" s="821" t="s">
        <v>538</v>
      </c>
      <c r="U44" s="812"/>
      <c r="V44" s="2755"/>
      <c r="W44" s="2755"/>
      <c r="X44" s="2755"/>
      <c r="Y44" s="2755"/>
      <c r="Z44" s="2755"/>
      <c r="AA44" s="2756"/>
      <c r="AB44" s="2464"/>
      <c r="AC44" s="2755" t="str">
        <f>INDEX(PT_DIFFERENTIATION_CS,MATCH(C44,PT_DIFFERENTIATION_CS_ID,0))</f>
        <v/>
      </c>
      <c r="AD44" s="2755"/>
      <c r="AE44" s="2755"/>
      <c r="AF44" s="2755"/>
      <c r="AG44" s="2755"/>
      <c r="AH44" s="2755"/>
      <c r="AI44" s="2755"/>
      <c r="AJ44" s="2756"/>
      <c r="AK44" s="1770" t="s">
        <v>539</v>
      </c>
      <c r="AM44" s="2136"/>
      <c r="AN44" s="2136" t="str">
        <f>IF(T44="","",T44)</f>
        <v>Наименование системы теплоснабжения </v>
      </c>
      <c r="AO44" s="2136"/>
      <c r="AP44" s="2136"/>
      <c r="AQ44" s="2143">
        <v>23</v>
      </c>
    </row>
    <row customHeight="1" ht="22.049999999999997">
      <c r="A45" s="1779" t="s">
        <v>264</v>
      </c>
      <c r="B45" s="1779" t="s">
        <v>265</v>
      </c>
      <c r="C45" s="1779" t="s">
        <v>266</v>
      </c>
      <c r="D45" s="1779" t="s">
        <v>267</v>
      </c>
      <c r="E45" s="2802"/>
      <c r="F45" s="2802"/>
      <c r="G45" s="2802"/>
      <c r="H45" s="2801">
        <v>1</v>
      </c>
      <c r="I45" s="1779"/>
      <c r="J45" s="1779"/>
      <c r="K45" s="1779"/>
      <c r="L45" s="1822"/>
      <c r="M45" s="2122"/>
      <c r="N45" s="2122"/>
      <c r="O45" s="2122"/>
      <c r="P45" s="1924"/>
      <c r="Q45" s="1923"/>
      <c r="R45" s="865"/>
      <c r="S45" s="2470" t="str">
        <f>INDEX(PT_DIFFERENTIATION_NUM_IST_TE,MATCH(D45,PT_DIFFERENTIATION_IST_TE_ID,0))</f>
        <v>...</v>
      </c>
      <c r="T45" s="822" t="s">
        <v>540</v>
      </c>
      <c r="U45" s="812"/>
      <c r="V45" s="2755"/>
      <c r="W45" s="2755"/>
      <c r="X45" s="2755"/>
      <c r="Y45" s="2755"/>
      <c r="Z45" s="2755"/>
      <c r="AA45" s="2756"/>
      <c r="AB45" s="2464"/>
      <c r="AC45" s="2755" t="str">
        <f>INDEX(PT_DIFFERENTIATION_IST_TE,MATCH(D45,PT_DIFFERENTIATION_IST_TE_ID,0))</f>
        <v/>
      </c>
      <c r="AD45" s="2755"/>
      <c r="AE45" s="2755"/>
      <c r="AF45" s="2755"/>
      <c r="AG45" s="2755"/>
      <c r="AH45" s="2755"/>
      <c r="AI45" s="2755"/>
      <c r="AJ45" s="2756"/>
      <c r="AK45" s="1770" t="s">
        <v>541</v>
      </c>
      <c r="AM45" s="2136"/>
      <c r="AN45" s="2136" t="str">
        <f>IF(T45="","",T45)</f>
        <v>Источник тепловой энергии  </v>
      </c>
      <c r="AO45" s="2136"/>
      <c r="AP45" s="2136"/>
      <c r="AQ45" s="2143">
        <v>21</v>
      </c>
    </row>
    <row s="50882" customFormat="1" customHeight="1" ht="0">
      <c r="A46" s="1887" t="s">
        <v>264</v>
      </c>
      <c r="B46" s="1887" t="s">
        <v>265</v>
      </c>
      <c r="C46" s="1887" t="s">
        <v>266</v>
      </c>
      <c r="D46" s="1887" t="s">
        <v>267</v>
      </c>
      <c r="E46" s="2802"/>
      <c r="F46" s="2802"/>
      <c r="G46" s="2802"/>
      <c r="H46" s="2802"/>
      <c r="I46" s="2639" t="str">
        <f>S45&amp;".1"</f>
        <v>....1</v>
      </c>
      <c r="J46" s="1887"/>
      <c r="K46" s="1887"/>
      <c r="L46" s="1893" t="s">
        <v>542</v>
      </c>
      <c r="M46" s="1758"/>
      <c r="N46" s="1758"/>
      <c r="O46" s="1758"/>
      <c r="P46" s="2769">
        <v>1</v>
      </c>
      <c r="Q46" s="2466"/>
      <c r="R46" s="868"/>
      <c r="S46" s="1554"/>
      <c r="T46" s="1895"/>
      <c r="U46" s="1896"/>
      <c r="V46" s="2809"/>
      <c r="W46" s="2809"/>
      <c r="X46" s="2809"/>
      <c r="Y46" s="2809"/>
      <c r="Z46" s="2809"/>
      <c r="AA46" s="2810"/>
      <c r="AB46" s="2472"/>
      <c r="AC46" s="2809"/>
      <c r="AD46" s="2809"/>
      <c r="AE46" s="2809"/>
      <c r="AF46" s="2809"/>
      <c r="AG46" s="2809"/>
      <c r="AH46" s="2809"/>
      <c r="AI46" s="2809"/>
      <c r="AJ46" s="2810"/>
      <c r="AK46" s="1897"/>
      <c r="AM46" s="2136"/>
      <c r="AN46" s="2136" t="str">
        <f>IF(T46="","",T46)</f>
        <v/>
      </c>
      <c r="AO46" s="2136"/>
      <c r="AP46" s="2136"/>
      <c r="AQ46" s="2148">
        <v>0</v>
      </c>
    </row>
    <row s="50882" customFormat="1" customHeight="1" ht="0">
      <c r="A47" s="1887" t="s">
        <v>264</v>
      </c>
      <c r="B47" s="1887" t="s">
        <v>265</v>
      </c>
      <c r="C47" s="1887" t="s">
        <v>266</v>
      </c>
      <c r="D47" s="1887" t="s">
        <v>267</v>
      </c>
      <c r="E47" s="2802"/>
      <c r="F47" s="2802"/>
      <c r="G47" s="2802"/>
      <c r="H47" s="2802"/>
      <c r="I47" s="2613"/>
      <c r="J47" s="2639" t="str">
        <f>S45&amp;".1"</f>
        <v>....1</v>
      </c>
      <c r="K47" s="1887"/>
      <c r="L47" s="1893"/>
      <c r="M47" s="1758"/>
      <c r="N47" s="1758"/>
      <c r="O47" s="1758"/>
      <c r="P47" s="2769"/>
      <c r="Q47" s="2769">
        <v>1</v>
      </c>
      <c r="R47" s="869"/>
      <c r="S47" s="1554"/>
      <c r="T47" s="1911"/>
      <c r="U47" s="1896"/>
      <c r="V47" s="2809"/>
      <c r="W47" s="2809"/>
      <c r="X47" s="2809"/>
      <c r="Y47" s="2809"/>
      <c r="Z47" s="2809"/>
      <c r="AA47" s="2810"/>
      <c r="AB47" s="2472"/>
      <c r="AC47" s="2809"/>
      <c r="AD47" s="2809"/>
      <c r="AE47" s="2809"/>
      <c r="AF47" s="2809"/>
      <c r="AG47" s="2809"/>
      <c r="AH47" s="2809"/>
      <c r="AI47" s="2809"/>
      <c r="AJ47" s="2810"/>
      <c r="AK47" s="1897"/>
      <c r="AM47" s="2136"/>
      <c r="AN47" s="2136" t="str">
        <f>IF(T47="","",T47)</f>
        <v/>
      </c>
      <c r="AO47" s="2136"/>
      <c r="AP47" s="2136"/>
      <c r="AQ47" s="2148">
        <v>0</v>
      </c>
    </row>
    <row customHeight="1" ht="22.049999999999997">
      <c r="A48" s="1779" t="s">
        <v>264</v>
      </c>
      <c r="B48" s="1779" t="s">
        <v>265</v>
      </c>
      <c r="C48" s="1779" t="s">
        <v>266</v>
      </c>
      <c r="D48" s="1779" t="s">
        <v>267</v>
      </c>
      <c r="E48" s="2802"/>
      <c r="F48" s="2802"/>
      <c r="G48" s="2802"/>
      <c r="H48" s="2802"/>
      <c r="I48" s="2613"/>
      <c r="J48" s="2613"/>
      <c r="K48" s="2453" t="str">
        <f>S45&amp;".1"</f>
        <v>....1</v>
      </c>
      <c r="L48" s="1822"/>
      <c r="P48" s="2769"/>
      <c r="Q48" s="2769"/>
      <c r="R48" s="869">
        <v>1</v>
      </c>
      <c r="S48" s="2474" t="str">
        <f>$K48</f>
        <v>....1</v>
      </c>
      <c r="T48" s="2473"/>
      <c r="U48" s="812"/>
      <c r="V48" s="1263"/>
      <c r="W48" s="1769"/>
      <c r="X48" s="2467"/>
      <c r="Y48" s="2454" t="s">
        <v>63</v>
      </c>
      <c r="Z48" s="2467"/>
      <c r="AA48" s="2454" t="s">
        <v>63</v>
      </c>
      <c r="AB48" s="2476"/>
      <c r="AC48" s="2475" t="s">
        <v>28</v>
      </c>
      <c r="AD48" s="1263"/>
      <c r="AE48" s="1769"/>
      <c r="AF48" s="2467"/>
      <c r="AG48" s="2454" t="s">
        <v>63</v>
      </c>
      <c r="AH48" s="2467"/>
      <c r="AI48" s="2454" t="s">
        <v>63</v>
      </c>
      <c r="AJ48" s="1860"/>
      <c r="AK48" s="2765" t="s">
        <v>616</v>
      </c>
      <c r="AL48" s="2148">
        <f>STRCHECKDATE(#REF!)</f>
      </c>
      <c r="AM48" s="2136"/>
      <c r="AN48" s="2136" t="str">
        <f>IF(T48="","",T48)</f>
        <v/>
      </c>
      <c r="AO48" s="2136"/>
      <c r="AP48" s="2136"/>
      <c r="AQ48" s="2143">
        <v>21</v>
      </c>
    </row>
    <row customHeight="1" ht="11.549999999999999">
      <c r="A49" s="1779" t="s">
        <v>264</v>
      </c>
      <c r="B49" s="1779" t="s">
        <v>265</v>
      </c>
      <c r="C49" s="1779" t="s">
        <v>266</v>
      </c>
      <c r="D49" s="1779" t="s">
        <v>267</v>
      </c>
      <c r="E49" s="2802"/>
      <c r="F49" s="2802"/>
      <c r="G49" s="2802"/>
      <c r="H49" s="2802"/>
      <c r="I49" s="2613"/>
      <c r="J49" s="2639"/>
      <c r="K49" s="1779"/>
      <c r="L49" s="1822"/>
      <c r="P49" s="2769"/>
      <c r="Q49" s="2769"/>
      <c r="R49" s="868"/>
      <c r="S49" s="1790"/>
      <c r="T49" s="799" t="s">
        <v>604</v>
      </c>
      <c r="U49" s="1112"/>
      <c r="V49" s="1112"/>
      <c r="W49" s="1112"/>
      <c r="X49" s="1112"/>
      <c r="Y49" s="1112"/>
      <c r="Z49" s="1112"/>
      <c r="AA49" s="836"/>
      <c r="AB49" s="1112"/>
      <c r="AC49" s="1112"/>
      <c r="AD49" s="1112"/>
      <c r="AE49" s="1112"/>
      <c r="AF49" s="1112"/>
      <c r="AG49" s="1112"/>
      <c r="AH49" s="1112"/>
      <c r="AI49" s="1112"/>
      <c r="AJ49" s="836"/>
      <c r="AK49" s="2767"/>
      <c r="AM49" s="2136"/>
      <c r="AN49" s="2136" t="str">
        <f>IF(T49="","",T49)</f>
        <v>Добавить строку</v>
      </c>
      <c r="AO49" s="2136"/>
      <c r="AP49" s="2136"/>
      <c r="AQ49" s="2143">
        <v>11</v>
      </c>
    </row>
    <row s="50882" customFormat="1" customHeight="1" ht="1.05">
      <c r="A50" s="1887" t="s">
        <v>264</v>
      </c>
      <c r="B50" s="1887" t="s">
        <v>265</v>
      </c>
      <c r="C50" s="1887" t="s">
        <v>266</v>
      </c>
      <c r="D50" s="1887" t="s">
        <v>267</v>
      </c>
      <c r="E50" s="2802"/>
      <c r="F50" s="2802"/>
      <c r="G50" s="2802"/>
      <c r="H50" s="2802"/>
      <c r="I50" s="2639"/>
      <c r="J50" s="1887"/>
      <c r="K50" s="1887"/>
      <c r="L50" s="1893"/>
      <c r="M50" s="1758"/>
      <c r="N50" s="1758"/>
      <c r="O50" s="1758"/>
      <c r="P50" s="2769"/>
      <c r="Q50" s="2466"/>
      <c r="R50" s="868"/>
      <c r="S50" s="1898"/>
      <c r="T50" s="1899" t="s">
        <v>551</v>
      </c>
      <c r="U50" s="1900"/>
      <c r="V50" s="1900"/>
      <c r="W50" s="1900"/>
      <c r="X50" s="1900"/>
      <c r="Y50" s="1900"/>
      <c r="Z50" s="1900"/>
      <c r="AA50" s="1900"/>
      <c r="AB50" s="1900"/>
      <c r="AC50" s="1900"/>
      <c r="AD50" s="1900"/>
      <c r="AE50" s="1900"/>
      <c r="AF50" s="1900"/>
      <c r="AG50" s="1900"/>
      <c r="AH50" s="1900"/>
      <c r="AI50" s="1900"/>
      <c r="AJ50" s="1900"/>
      <c r="AK50" s="1901"/>
      <c r="AM50" s="2136"/>
      <c r="AN50" s="2136" t="str">
        <f>IF(T50="","",T50)</f>
        <v>Добавить группу потребителей</v>
      </c>
      <c r="AO50" s="2136"/>
      <c r="AP50" s="2136"/>
      <c r="AQ50" s="2148">
        <v>1</v>
      </c>
    </row>
    <row s="51564" customFormat="1" customHeight="1" ht="1.05">
      <c r="A51" s="1887" t="s">
        <v>264</v>
      </c>
      <c r="B51" s="1887" t="s">
        <v>265</v>
      </c>
      <c r="C51" s="1887" t="s">
        <v>266</v>
      </c>
      <c r="D51" s="1887" t="s">
        <v>267</v>
      </c>
      <c r="E51" s="2802"/>
      <c r="F51" s="2802"/>
      <c r="G51" s="2802"/>
      <c r="H51" s="2801"/>
      <c r="I51" s="1887"/>
      <c r="J51" s="1887"/>
      <c r="K51" s="1887"/>
      <c r="L51" s="1893"/>
      <c r="M51" s="1890"/>
      <c r="N51" s="1890"/>
      <c r="O51" s="863"/>
      <c r="P51" s="892"/>
      <c r="Q51" s="1856"/>
      <c r="R51" s="1912"/>
      <c r="S51" s="1898"/>
      <c r="T51" s="1899"/>
      <c r="U51" s="1900"/>
      <c r="V51" s="1900"/>
      <c r="W51" s="1900"/>
      <c r="X51" s="1900"/>
      <c r="Y51" s="1900"/>
      <c r="Z51" s="1900"/>
      <c r="AA51" s="1900"/>
      <c r="AB51" s="1900"/>
      <c r="AC51" s="1900"/>
      <c r="AD51" s="1900"/>
      <c r="AE51" s="1900"/>
      <c r="AF51" s="1900"/>
      <c r="AG51" s="1900"/>
      <c r="AH51" s="1900"/>
      <c r="AI51" s="1900"/>
      <c r="AJ51" s="1900"/>
      <c r="AK51" s="1901"/>
      <c r="AL51" s="2148"/>
      <c r="AM51" s="2136"/>
      <c r="AN51" s="2136" t="str">
        <f>IF(T51="","",T51)</f>
        <v/>
      </c>
      <c r="AO51" s="2136"/>
      <c r="AP51" s="2136"/>
      <c r="AQ51" s="2153">
        <v>1</v>
      </c>
    </row>
    <row s="50882" customFormat="1" customHeight="1" ht="1.05">
      <c r="A52" s="1887" t="s">
        <v>264</v>
      </c>
      <c r="B52" s="1887" t="s">
        <v>265</v>
      </c>
      <c r="C52" s="1887" t="s">
        <v>266</v>
      </c>
      <c r="D52" s="1886"/>
      <c r="E52" s="2802"/>
      <c r="F52" s="2802"/>
      <c r="G52" s="2801"/>
      <c r="H52" s="1886"/>
      <c r="I52" s="1886"/>
      <c r="J52" s="1886"/>
      <c r="K52" s="1886"/>
      <c r="L52" s="1889"/>
      <c r="M52" s="1890"/>
      <c r="N52" s="1890"/>
      <c r="O52" s="863"/>
      <c r="P52" s="1828"/>
      <c r="Q52" s="1829"/>
      <c r="R52" s="1828"/>
      <c r="S52" s="1834"/>
      <c r="T52" s="1837" t="s">
        <v>553</v>
      </c>
      <c r="U52" s="1836"/>
      <c r="V52" s="1836"/>
      <c r="W52" s="1836"/>
      <c r="X52" s="1836"/>
      <c r="Y52" s="1836"/>
      <c r="Z52" s="1836"/>
      <c r="AA52" s="1836"/>
      <c r="AB52" s="1836"/>
      <c r="AC52" s="1836"/>
      <c r="AD52" s="1836"/>
      <c r="AE52" s="1836"/>
      <c r="AF52" s="1836"/>
      <c r="AG52" s="1836"/>
      <c r="AH52" s="1836"/>
      <c r="AI52" s="1836"/>
      <c r="AJ52" s="1836"/>
      <c r="AK52" s="1836"/>
      <c r="AM52" s="1763"/>
      <c r="AN52" s="1763" t="str">
        <f>IF(T52="","",T52)</f>
        <v>Добавить источник для дифференциации</v>
      </c>
      <c r="AO52" s="1763"/>
      <c r="AP52" s="1763"/>
      <c r="AQ52" s="2154">
        <v>1</v>
      </c>
    </row>
    <row s="50882" customFormat="1" customHeight="1" ht="1.05">
      <c r="A53" s="1887" t="s">
        <v>264</v>
      </c>
      <c r="B53" s="1887" t="s">
        <v>265</v>
      </c>
      <c r="C53" s="1886"/>
      <c r="D53" s="1886"/>
      <c r="E53" s="2802"/>
      <c r="F53" s="2801"/>
      <c r="G53" s="1886"/>
      <c r="H53" s="1886"/>
      <c r="I53" s="1886"/>
      <c r="J53" s="1886"/>
      <c r="K53" s="1886"/>
      <c r="L53" s="1889"/>
      <c r="M53" s="1891"/>
      <c r="N53" s="1891"/>
      <c r="O53" s="863"/>
      <c r="P53" s="1828"/>
      <c r="Q53" s="1829"/>
      <c r="R53" s="1828"/>
      <c r="S53" s="1834"/>
      <c r="T53" s="1837" t="s">
        <v>290</v>
      </c>
      <c r="U53" s="1836"/>
      <c r="V53" s="1836"/>
      <c r="W53" s="1836"/>
      <c r="X53" s="1836"/>
      <c r="Y53" s="1836"/>
      <c r="Z53" s="1836"/>
      <c r="AA53" s="1836"/>
      <c r="AB53" s="1836"/>
      <c r="AC53" s="1836"/>
      <c r="AD53" s="1836"/>
      <c r="AE53" s="1836"/>
      <c r="AF53" s="1836"/>
      <c r="AG53" s="1836"/>
      <c r="AH53" s="1836"/>
      <c r="AI53" s="1836"/>
      <c r="AJ53" s="1836"/>
      <c r="AK53" s="1836"/>
      <c r="AM53" s="1763"/>
      <c r="AN53" s="1763" t="str">
        <f>IF(T53="","",T53)</f>
        <v>Добавить централизованную систему для дифференциации</v>
      </c>
      <c r="AO53" s="1763"/>
      <c r="AP53" s="1763"/>
      <c r="AQ53" s="2154">
        <v>1</v>
      </c>
    </row>
    <row s="50882" customFormat="1" customHeight="1" ht="1.05">
      <c r="A54" s="1887" t="s">
        <v>264</v>
      </c>
      <c r="B54" s="1887"/>
      <c r="C54" s="1887"/>
      <c r="D54" s="1887"/>
      <c r="E54" s="2802"/>
      <c r="F54" s="1887"/>
      <c r="G54" s="1887"/>
      <c r="H54" s="1887"/>
      <c r="I54" s="1887"/>
      <c r="J54" s="1887"/>
      <c r="K54" s="1887"/>
      <c r="L54" s="1893"/>
      <c r="M54" s="1891"/>
      <c r="N54" s="1891"/>
      <c r="O54" s="863"/>
      <c r="P54" s="892"/>
      <c r="Q54" s="1856"/>
      <c r="R54" s="892"/>
      <c r="S54" s="1834"/>
      <c r="T54" s="1837" t="s">
        <v>365</v>
      </c>
      <c r="U54" s="1836"/>
      <c r="V54" s="1836"/>
      <c r="W54" s="1836"/>
      <c r="X54" s="1836"/>
      <c r="Y54" s="1836"/>
      <c r="Z54" s="1836"/>
      <c r="AA54" s="1836"/>
      <c r="AB54" s="1836"/>
      <c r="AC54" s="1836"/>
      <c r="AD54" s="1836"/>
      <c r="AE54" s="1836"/>
      <c r="AF54" s="1836"/>
      <c r="AG54" s="1836"/>
      <c r="AH54" s="1836"/>
      <c r="AI54" s="1836"/>
      <c r="AJ54" s="1836"/>
      <c r="AK54" s="1836"/>
      <c r="AM54" s="2136"/>
      <c r="AN54" s="2136" t="str">
        <f>IF(T54="","",T54)</f>
        <v>Добавить территорию для дифференциации</v>
      </c>
      <c r="AO54" s="2136"/>
      <c r="AP54" s="2136"/>
      <c r="AQ54" s="2148">
        <v>1</v>
      </c>
    </row>
    <row s="50882" customFormat="1" customHeight="1" ht="1.05">
      <c r="A55" s="1887" t="s">
        <v>264</v>
      </c>
      <c r="B55" s="1887"/>
      <c r="C55" s="1887"/>
      <c r="D55" s="1887"/>
      <c r="E55" s="2801"/>
      <c r="F55" s="1887"/>
      <c r="G55" s="1887"/>
      <c r="H55" s="1887"/>
      <c r="I55" s="1887"/>
      <c r="J55" s="1887"/>
      <c r="K55" s="1887"/>
      <c r="L55" s="1893"/>
      <c r="M55" s="1891"/>
      <c r="N55" s="1891"/>
      <c r="O55" s="863"/>
      <c r="P55" s="892"/>
      <c r="Q55" s="1856"/>
      <c r="R55" s="892"/>
      <c r="S55" s="1834"/>
      <c r="T55" s="1837" t="s">
        <v>365</v>
      </c>
      <c r="U55" s="1836"/>
      <c r="V55" s="1836"/>
      <c r="W55" s="1836"/>
      <c r="X55" s="1836"/>
      <c r="Y55" s="1836"/>
      <c r="Z55" s="1836"/>
      <c r="AA55" s="1836"/>
      <c r="AB55" s="1836"/>
      <c r="AC55" s="1836"/>
      <c r="AD55" s="1836"/>
      <c r="AE55" s="1836"/>
      <c r="AF55" s="1836"/>
      <c r="AG55" s="1836"/>
      <c r="AH55" s="1836"/>
      <c r="AI55" s="1836"/>
      <c r="AJ55" s="1836"/>
      <c r="AK55" s="1836"/>
      <c r="AM55" s="2136"/>
      <c r="AN55" s="2136" t="str">
        <f>IF(T55="","",T55)</f>
        <v>Добавить территорию для дифференциации</v>
      </c>
      <c r="AO55" s="2136"/>
      <c r="AP55" s="2136"/>
      <c r="AQ55" s="2148">
        <v>1</v>
      </c>
    </row>
    <row s="50882" customFormat="1" customHeight="1" ht="1.05">
      <c r="A56" s="1886"/>
      <c r="B56" s="1886"/>
      <c r="C56" s="1886"/>
      <c r="D56" s="1886"/>
      <c r="E56" s="1887"/>
      <c r="F56" s="1886"/>
      <c r="G56" s="1886"/>
      <c r="H56" s="1886"/>
      <c r="I56" s="1886"/>
      <c r="J56" s="1886"/>
      <c r="K56" s="1886"/>
      <c r="L56" s="1889"/>
      <c r="M56" s="1891"/>
      <c r="N56" s="1891"/>
      <c r="O56" s="863"/>
      <c r="P56" s="1828"/>
      <c r="Q56" s="1829"/>
      <c r="R56" s="1828"/>
      <c r="S56" s="1834"/>
      <c r="T56" s="1837" t="s">
        <v>366</v>
      </c>
      <c r="U56" s="1836"/>
      <c r="V56" s="1836"/>
      <c r="W56" s="1836"/>
      <c r="X56" s="1836"/>
      <c r="Y56" s="1836"/>
      <c r="Z56" s="1836"/>
      <c r="AA56" s="1836"/>
      <c r="AB56" s="1836"/>
      <c r="AC56" s="1836"/>
      <c r="AD56" s="1836"/>
      <c r="AE56" s="1836"/>
      <c r="AF56" s="1836"/>
      <c r="AG56" s="1836"/>
      <c r="AH56" s="1836"/>
      <c r="AI56" s="1836"/>
      <c r="AJ56" s="1836"/>
      <c r="AK56" s="1836"/>
      <c r="AM56" s="1763"/>
      <c r="AN56" s="1763" t="str">
        <f>IF(T56="","",T56)</f>
        <v>Добавить наименование тарифа</v>
      </c>
      <c r="AO56" s="1763"/>
      <c r="AP56" s="1763"/>
      <c r="AQ56" s="2154">
        <v>1</v>
      </c>
    </row>
    <row customHeight="1" ht="11.549999999999999">
      <c r="M57" s="2143"/>
      <c r="N57" s="2143"/>
      <c r="O57" s="2147"/>
      <c r="P57" s="1878"/>
      <c r="Q57" s="1878"/>
      <c r="R57" s="2143"/>
      <c r="S57" s="2143"/>
      <c r="AL57" s="2143"/>
      <c r="AM57" s="2143"/>
      <c r="AN57" s="2143"/>
      <c r="AO57" s="2143"/>
      <c r="AP57" s="2143"/>
      <c r="AQ57" s="2143">
        <v>11</v>
      </c>
    </row>
    <row customHeight="1" ht="19.95">
      <c r="O58" s="2147"/>
      <c r="S58" s="1765"/>
      <c r="T58" s="2797"/>
      <c r="U58" s="2797"/>
      <c r="V58" s="2797"/>
      <c r="W58" s="2797"/>
      <c r="X58" s="2797"/>
      <c r="Y58" s="2797"/>
      <c r="Z58" s="2797"/>
      <c r="AA58" s="2797"/>
      <c r="AB58" s="2797"/>
      <c r="AC58" s="2797"/>
      <c r="AD58" s="2797"/>
      <c r="AE58" s="2797"/>
      <c r="AF58" s="2797"/>
      <c r="AG58" s="2797"/>
      <c r="AH58" s="2797"/>
      <c r="AI58" s="2797"/>
      <c r="AJ58" s="2797"/>
      <c r="AK58" s="2797"/>
      <c r="AQ58" s="2143">
        <v>19</v>
      </c>
    </row>
    <row customHeight="1" ht="21">
      <c r="O59" s="2147"/>
      <c r="T59" s="2797"/>
      <c r="U59" s="2797"/>
      <c r="V59" s="2797"/>
      <c r="W59" s="2797"/>
      <c r="X59" s="2797"/>
      <c r="Y59" s="2797"/>
      <c r="Z59" s="2797"/>
      <c r="AA59" s="2797"/>
      <c r="AB59" s="2797"/>
      <c r="AC59" s="2797"/>
      <c r="AD59" s="2797"/>
      <c r="AE59" s="2797"/>
      <c r="AF59" s="2797"/>
      <c r="AG59" s="2797"/>
      <c r="AH59" s="2797"/>
      <c r="AI59" s="2797"/>
      <c r="AJ59" s="2797"/>
      <c r="AK59" s="2797"/>
      <c r="AQ59" s="2143">
        <v>20</v>
      </c>
    </row>
    <row customHeight="1" ht="14.699999999999998">
      <c r="O60" s="2147"/>
      <c r="T60" s="2465"/>
      <c r="U60" s="2465"/>
      <c r="V60" s="2465"/>
      <c r="W60" s="2465"/>
      <c r="X60" s="2465"/>
      <c r="Y60" s="2465"/>
      <c r="Z60" s="2465"/>
      <c r="AA60" s="2465"/>
      <c r="AB60" s="2465"/>
      <c r="AC60" s="2465"/>
      <c r="AD60" s="2465"/>
      <c r="AE60" s="2465"/>
      <c r="AF60" s="2465"/>
      <c r="AG60" s="2465"/>
      <c r="AH60" s="2465"/>
      <c r="AI60" s="2465"/>
      <c r="AJ60" s="2465"/>
      <c r="AK60" s="2465"/>
      <c r="AQ60" s="2143">
        <v>14</v>
      </c>
    </row>
    <row customHeight="1" ht="19.95">
      <c r="O61" s="2147"/>
      <c r="T61" s="2797"/>
      <c r="U61" s="2797"/>
      <c r="V61" s="2797"/>
      <c r="W61" s="2797"/>
      <c r="X61" s="2797"/>
      <c r="Y61" s="2797"/>
      <c r="Z61" s="2797"/>
      <c r="AA61" s="2797"/>
      <c r="AB61" s="2797"/>
      <c r="AC61" s="2797"/>
      <c r="AD61" s="2797"/>
      <c r="AE61" s="2797"/>
      <c r="AF61" s="2797"/>
      <c r="AG61" s="2797"/>
      <c r="AH61" s="2797"/>
      <c r="AI61" s="2797"/>
      <c r="AJ61" s="2797"/>
      <c r="AK61" s="2797"/>
      <c r="AQ61" s="2143">
        <v>19</v>
      </c>
    </row>
    <row customHeight="1" ht="16.8">
      <c r="O62" s="2147"/>
      <c r="T62" s="2797"/>
      <c r="U62" s="2797"/>
      <c r="V62" s="2797"/>
      <c r="W62" s="2797"/>
      <c r="X62" s="2797"/>
      <c r="Y62" s="2797"/>
      <c r="Z62" s="2797"/>
      <c r="AA62" s="2797"/>
      <c r="AB62" s="2797"/>
      <c r="AC62" s="2797"/>
      <c r="AD62" s="2797"/>
      <c r="AE62" s="2797"/>
      <c r="AF62" s="2797"/>
      <c r="AG62" s="2797"/>
      <c r="AH62" s="2797"/>
      <c r="AI62" s="2797"/>
      <c r="AJ62" s="2797"/>
      <c r="AK62" s="2797"/>
      <c r="AQ62" s="2143">
        <v>16</v>
      </c>
    </row>
    <row customHeight="1" ht="14.699999999999998">
      <c r="O63" s="2147"/>
      <c r="AQ63" s="2143">
        <v>14</v>
      </c>
    </row>
    <row customHeight="1" ht="22.5" hidden="1">
      <c r="A64" s="2143" t="s">
        <v>84</v>
      </c>
      <c r="B64" s="2143">
        <v>0</v>
      </c>
      <c r="C64" s="2143">
        <v>0</v>
      </c>
      <c r="D64" s="2143">
        <v>0</v>
      </c>
      <c r="E64" s="2143">
        <v>0</v>
      </c>
      <c r="F64" s="2143">
        <v>0</v>
      </c>
      <c r="G64" s="2143">
        <v>0</v>
      </c>
      <c r="H64" s="2143">
        <v>0</v>
      </c>
      <c r="I64" s="2143">
        <v>0</v>
      </c>
      <c r="J64" s="2143">
        <v>0</v>
      </c>
      <c r="K64" s="2143">
        <v>0</v>
      </c>
      <c r="L64" s="2451">
        <v>0</v>
      </c>
      <c r="M64" s="2477">
        <v>0</v>
      </c>
      <c r="N64" s="2477">
        <v>0</v>
      </c>
      <c r="O64" s="2477">
        <v>0</v>
      </c>
      <c r="P64" s="1874">
        <v>3</v>
      </c>
      <c r="Q64" s="1883">
        <v>3</v>
      </c>
      <c r="R64" s="856">
        <v>3</v>
      </c>
      <c r="S64" s="1093">
        <v>12</v>
      </c>
      <c r="T64" s="2143">
        <v>31</v>
      </c>
      <c r="U64" s="2143">
        <v>0</v>
      </c>
      <c r="V64" s="2143">
        <v>0</v>
      </c>
      <c r="W64" s="2143">
        <v>0</v>
      </c>
      <c r="X64" s="2143">
        <v>0</v>
      </c>
      <c r="Y64" s="2143">
        <v>0</v>
      </c>
      <c r="Z64" s="2143">
        <v>0</v>
      </c>
      <c r="AA64" s="2143">
        <v>0</v>
      </c>
      <c r="AB64" s="2143">
        <v>27</v>
      </c>
      <c r="AC64" s="2143">
        <v>24</v>
      </c>
      <c r="AD64" s="2143">
        <v>21</v>
      </c>
      <c r="AE64" s="2143">
        <v>21</v>
      </c>
      <c r="AF64" s="2143">
        <v>11</v>
      </c>
      <c r="AG64" s="2143">
        <v>3</v>
      </c>
      <c r="AH64" s="2143">
        <v>11</v>
      </c>
      <c r="AI64" s="2143">
        <v>8</v>
      </c>
      <c r="AJ64" s="2143">
        <v>4</v>
      </c>
      <c r="AK64" s="2143">
        <v>115</v>
      </c>
      <c r="AL64" s="2148">
        <v>10</v>
      </c>
      <c r="AM64" s="2148">
        <v>10</v>
      </c>
      <c r="AN64" s="2148">
        <v>10</v>
      </c>
      <c r="AO64" s="2148">
        <v>10</v>
      </c>
      <c r="AP64" s="2148">
        <v>10</v>
      </c>
      <c r="AQ64" s="214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B9863F-3C11-A2FA-4336-21A593EC91A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50881" width="11.57421875" hidden="1" customWidth="1"/>
    <col min="2" max="2" style="50881" width="11.00390625" hidden="1" customWidth="1"/>
    <col min="3" max="3" style="50881" width="10.57421875" hidden="1"/>
    <col min="4" max="4" style="50881" width="12.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7" width="3.7109375" hidden="1" customWidth="1"/>
    <col min="17" max="17" style="51992" width="3.7109375" hidden="1" customWidth="1"/>
    <col min="18" max="18" style="51809" width="3.00390625" customWidth="1"/>
    <col min="19" max="19" style="51810" width="12.00390625" customWidth="1"/>
    <col min="20" max="20" style="50801" width="31.00390625" customWidth="1"/>
    <col min="21" max="21" style="50801" width="0.140625" customWidth="1"/>
    <col min="22" max="25" style="50801" width="21.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3.7109375" customWidth="1"/>
    <col min="31" max="32" style="50801" width="3.00390625" customWidth="1"/>
    <col min="33" max="33" style="50801" width="24.00390625" customWidth="1"/>
    <col min="34" max="34" style="50801" width="3.7109375" customWidth="1"/>
    <col min="35" max="36" style="50801" width="3.00390625" customWidth="1"/>
    <col min="37" max="37" style="50801" width="24.00390625" customWidth="1"/>
    <col min="38" max="38" style="50801" width="3.7109375" customWidth="1"/>
    <col min="39" max="40" style="50801" width="3.00390625" customWidth="1"/>
    <col min="41" max="41" style="50801" width="18.00390625" customWidth="1"/>
    <col min="42" max="42" style="50801" width="3.7109375" customWidth="1"/>
    <col min="43" max="44" style="50801" width="3.00390625" customWidth="1"/>
    <col min="45" max="45" style="50801" width="18.00390625" customWidth="1"/>
    <col min="46" max="49" style="50801" width="21.00390625" customWidth="1"/>
    <col min="50" max="50" style="50801" width="11.00390625" customWidth="1"/>
    <col min="51" max="51" style="50801" width="3.7109375" customWidth="1"/>
    <col min="52" max="52" style="50801" width="11.00390625" customWidth="1"/>
    <col min="53" max="53" style="50801" width="8.57421875" hidden="1" customWidth="1"/>
    <col min="54" max="54" style="50801" width="4.00390625" customWidth="1"/>
    <col min="55" max="55" style="50801" width="115.00390625" customWidth="1"/>
    <col min="56" max="60" style="50882" width="10.00390625" customWidth="1"/>
    <col min="61" max="61" style="50801"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977">
        <f>INDEX(PT_DIFFERENTIATION_NUM_NTAR,MATCH(A2,PT_DIFFERENTIATION_NTAR_ID,0))</f>
      </c>
      <c r="T2" s="810" t="s">
        <v>189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1977">
        <f>INDEX(PT_DIFFERENTIATION_NUM_TER,MATCH(B3,PT_DIFFERENTIATION_TER_ID,0))</f>
      </c>
      <c r="T3" s="820" t="s">
        <v>536</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537</v>
      </c>
      <c r="BE3" s="1012"/>
      <c r="BF3" s="1012" t="str">
        <f>IF(T3="","",T3)</f>
        <v>Территория действия тарифа</v>
      </c>
      <c r="BG3" s="1012"/>
      <c r="BH3" s="1012"/>
      <c r="BI3" s="1667">
        <v>0</v>
      </c>
    </row>
    <row customHeight="1" ht="42" hidden="1">
      <c r="A4" s="1875"/>
      <c r="B4" s="1875"/>
      <c r="C4" s="1875"/>
      <c r="D4" s="1875"/>
      <c r="E4" s="2771"/>
      <c r="F4" s="2771"/>
      <c r="G4" s="2770">
        <v>1</v>
      </c>
      <c r="H4" s="1875"/>
      <c r="I4" s="1875"/>
      <c r="J4" s="1875"/>
      <c r="K4" s="1875"/>
      <c r="L4" s="1876"/>
      <c r="M4" s="1877"/>
      <c r="N4" s="1877"/>
      <c r="O4" s="1877"/>
      <c r="P4" s="1924"/>
      <c r="Q4" s="1923"/>
      <c r="R4" s="865"/>
      <c r="S4" s="1977">
        <f>INDEX(PT_DIFFERENTIATION_NUM_CS,MATCH(C4,PT_DIFFERENTIATION_CS_ID,0))</f>
      </c>
      <c r="T4" s="821" t="s">
        <v>617</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618</v>
      </c>
      <c r="BE4" s="1012"/>
      <c r="BF4" s="1012" t="str">
        <f>IF(T4="","",T4)</f>
        <v>Наименование централизованной системы холодного водоснабжения</v>
      </c>
      <c r="BG4" s="1012"/>
      <c r="BH4" s="1012"/>
      <c r="BI4" s="1667">
        <v>0</v>
      </c>
    </row>
    <row s="50882"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541</v>
      </c>
      <c r="BE5" s="1012"/>
      <c r="BF5" s="1012" t="str">
        <f>IF(T5="","",T5)</f>
        <v/>
      </c>
      <c r="BG5" s="1012"/>
      <c r="BH5" s="1012"/>
      <c r="BI5" s="1023">
        <v>0</v>
      </c>
    </row>
    <row s="50882" customFormat="1" customHeight="1" ht="14.25" hidden="1">
      <c r="A6" s="1855"/>
      <c r="B6" s="1855"/>
      <c r="C6" s="1855"/>
      <c r="D6" s="1855"/>
      <c r="E6" s="2771"/>
      <c r="F6" s="2771"/>
      <c r="G6" s="2771"/>
      <c r="H6" s="2771"/>
      <c r="I6" s="2768" t="str">
        <f>S5&amp;".1"</f>
        <v>.1</v>
      </c>
      <c r="J6" s="1855"/>
      <c r="K6" s="1855"/>
      <c r="L6" s="1858" t="s">
        <v>542</v>
      </c>
      <c r="M6" s="1022"/>
      <c r="N6" s="1022"/>
      <c r="O6" s="1022"/>
      <c r="P6" s="2769">
        <v>1</v>
      </c>
      <c r="Q6" s="1974"/>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50882"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71" t="s">
        <v>63</v>
      </c>
      <c r="AB8" s="2246"/>
      <c r="AC8" s="1971" t="s">
        <v>63</v>
      </c>
      <c r="AD8" s="2697" t="s">
        <v>63</v>
      </c>
      <c r="AE8" s="2838"/>
      <c r="AF8" s="2717">
        <v>1</v>
      </c>
      <c r="AG8" s="2875"/>
      <c r="AH8" s="2619" t="s">
        <v>63</v>
      </c>
      <c r="AI8" s="2838"/>
      <c r="AJ8" s="2717">
        <v>1</v>
      </c>
      <c r="AK8" s="2839" t="s">
        <v>28</v>
      </c>
      <c r="AL8" s="2619" t="s">
        <v>63</v>
      </c>
      <c r="AM8" s="2704"/>
      <c r="AN8" s="2717">
        <v>1</v>
      </c>
      <c r="AO8" s="2869"/>
      <c r="AP8" s="2870" t="s">
        <v>63</v>
      </c>
      <c r="AQ8" s="823"/>
      <c r="AR8" s="1975">
        <v>1</v>
      </c>
      <c r="AS8" s="1978" t="s">
        <v>28</v>
      </c>
      <c r="AT8" s="1263"/>
      <c r="AU8" s="1769"/>
      <c r="AV8" s="1263"/>
      <c r="AW8" s="1769"/>
      <c r="AX8" s="2246"/>
      <c r="AY8" s="1971" t="s">
        <v>63</v>
      </c>
      <c r="AZ8" s="2246"/>
      <c r="BA8" s="1971" t="s">
        <v>63</v>
      </c>
      <c r="BB8" s="1860"/>
      <c r="BC8" s="2765" t="s">
        <v>639</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640</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641</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642</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643</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604</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50882" customFormat="1" customHeight="1" ht="14.25" hidden="1">
      <c r="A14" s="1855"/>
      <c r="B14" s="1855"/>
      <c r="C14" s="1855"/>
      <c r="D14" s="1855"/>
      <c r="E14" s="2771"/>
      <c r="F14" s="2771"/>
      <c r="G14" s="2771"/>
      <c r="H14" s="2771"/>
      <c r="I14" s="2768"/>
      <c r="J14" s="1855"/>
      <c r="K14" s="1855"/>
      <c r="L14" s="1858"/>
      <c r="M14" s="1022"/>
      <c r="N14" s="1022"/>
      <c r="O14" s="1022"/>
      <c r="P14" s="2769"/>
      <c r="Q14" s="1974"/>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50882"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50882" customFormat="1" customHeight="1" ht="14.25" hidden="1">
      <c r="A16" s="1855"/>
      <c r="B16" s="1855"/>
      <c r="C16" s="1855"/>
      <c r="D16" s="1826"/>
      <c r="E16" s="2771"/>
      <c r="F16" s="2771"/>
      <c r="G16" s="2770"/>
      <c r="H16" s="1826"/>
      <c r="I16" s="1826"/>
      <c r="J16" s="1826"/>
      <c r="K16" s="1826"/>
      <c r="L16" s="197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50882" customFormat="1" customHeight="1" ht="14.25" hidden="1">
      <c r="A17" s="1855"/>
      <c r="B17" s="1855"/>
      <c r="C17" s="1826"/>
      <c r="D17" s="1826"/>
      <c r="E17" s="2771"/>
      <c r="F17" s="2770"/>
      <c r="G17" s="1826"/>
      <c r="H17" s="1826"/>
      <c r="I17" s="1826"/>
      <c r="J17" s="1826"/>
      <c r="K17" s="1826"/>
      <c r="L17" s="1976"/>
      <c r="M17" s="1833"/>
      <c r="N17" s="1833"/>
      <c r="P17" s="1828"/>
      <c r="Q17" s="1829"/>
      <c r="R17" s="1828"/>
      <c r="S17" s="1834"/>
      <c r="T17" s="1837" t="s">
        <v>290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50882"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365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72" t="s">
        <v>63</v>
      </c>
      <c r="AZ20" s="2248"/>
      <c r="BA20" s="1972" t="s">
        <v>63</v>
      </c>
      <c r="BI20" s="1667">
        <v>0</v>
      </c>
    </row>
    <row customHeight="1" ht="14.25" hidden="1">
      <c r="BD21" s="1008"/>
      <c r="BE21" s="1008"/>
      <c r="BF21" s="1008"/>
      <c r="BG21" s="1008"/>
      <c r="BH21" s="1008"/>
      <c r="BI21" s="1667">
        <v>0</v>
      </c>
    </row>
    <row customHeight="1" ht="14.25" hidden="1">
      <c r="O22" s="1879" t="s">
        <v>554</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51963" customFormat="1" customHeight="1" ht="14.25" hidden="1">
      <c r="M24" s="2020"/>
      <c r="N24" s="2020"/>
      <c r="O24" s="2021" t="s">
        <v>555</v>
      </c>
      <c r="P24" s="2020"/>
      <c r="Q24" s="2022"/>
      <c r="R24" s="2022"/>
      <c r="AA24" s="2019" t="s">
        <v>557</v>
      </c>
      <c r="AC24" s="2019" t="s">
        <v>558</v>
      </c>
      <c r="AD24" s="2019" t="s">
        <v>605</v>
      </c>
      <c r="AH24" s="2019" t="s">
        <v>605</v>
      </c>
      <c r="AK24" s="2019" t="s">
        <v>644</v>
      </c>
      <c r="AL24" s="2019" t="s">
        <v>605</v>
      </c>
      <c r="AP24" s="2019" t="s">
        <v>605</v>
      </c>
      <c r="AY24" s="2019" t="s">
        <v>557</v>
      </c>
      <c r="BA24" s="2019" t="s">
        <v>558</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51018"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51018" customFormat="1" customHeight="1" ht="18.75">
      <c r="A32" s="1880"/>
      <c r="B32" s="1880"/>
      <c r="C32" s="1880"/>
      <c r="D32" s="1880"/>
      <c r="E32" s="1880"/>
      <c r="F32" s="1880"/>
      <c r="G32" s="1880"/>
      <c r="H32" s="1880"/>
      <c r="I32" s="1880"/>
      <c r="J32" s="1880"/>
      <c r="K32" s="1880"/>
      <c r="L32" s="1881"/>
      <c r="M32" s="1880"/>
      <c r="N32" s="1880"/>
      <c r="O32" s="1880"/>
      <c r="P32" s="1880"/>
      <c r="Q32" s="1880"/>
      <c r="S32" s="2762" t="s">
        <v>560</v>
      </c>
      <c r="T32" s="2762"/>
      <c r="U32" s="1884"/>
      <c r="V32" s="2776" t="str">
        <f>IF(TITLE_DATE_PR_CHANGE="",IF(TITLE_DATE_PR="","",TITLE_DATE_PR),TITLE_DATE_PR_CHANGE)</f>
        <v>45631.710694444446</v>
      </c>
      <c r="W32" s="2776"/>
      <c r="X32" s="2776"/>
      <c r="Y32" s="2776"/>
      <c r="Z32" s="2776"/>
      <c r="AA32" s="2776"/>
      <c r="AB32" s="2776"/>
      <c r="AC32" s="838"/>
      <c r="AD32" s="2776" t="str">
        <f>IF(TITLE_DATE_PR_CHANGE="",IF(TITLE_DATE_PR="","",TITLE_DATE_PR),TITLE_DATE_PR_CHANGE)</f>
        <v>45631.710694444446</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51018" customFormat="1" customHeight="1" ht="18.75">
      <c r="A33" s="1880"/>
      <c r="B33" s="1880"/>
      <c r="C33" s="1880"/>
      <c r="D33" s="1880"/>
      <c r="E33" s="1880"/>
      <c r="F33" s="1880"/>
      <c r="G33" s="1880"/>
      <c r="H33" s="1880"/>
      <c r="I33" s="1880"/>
      <c r="J33" s="1880"/>
      <c r="K33" s="1880"/>
      <c r="L33" s="1881"/>
      <c r="M33" s="1880"/>
      <c r="N33" s="1880"/>
      <c r="O33" s="1880"/>
      <c r="P33" s="1880"/>
      <c r="Q33" s="1880"/>
      <c r="S33" s="2762" t="s">
        <v>561</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51018"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51018"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560</v>
      </c>
      <c r="T36" s="2762"/>
      <c r="U36" s="1884"/>
      <c r="V36" s="2776" t="str">
        <f>IF(TITLE_DATE_PR_CHANGE="",IF(TITLE_DATE_PR="","",TITLE_DATE_PR),TITLE_DATE_PR_CHANGE)</f>
        <v>45631.710694444446</v>
      </c>
      <c r="W36" s="2776"/>
      <c r="X36" s="2776"/>
      <c r="Y36" s="2776"/>
      <c r="Z36" s="2776"/>
      <c r="AA36" s="2776"/>
      <c r="AB36" s="2776"/>
      <c r="AC36" s="838"/>
      <c r="AD36" s="2776" t="str">
        <f>IF(TITLE_DATE_PR_CHANGE="",IF(TITLE_DATE_PR="","",TITLE_DATE_PR),TITLE_DATE_PR_CHANGE)</f>
        <v>45631.710694444446</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51018"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561</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51018"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1966"/>
      <c r="V38" s="838"/>
      <c r="W38" s="838"/>
      <c r="X38" s="838"/>
      <c r="Y38" s="838"/>
      <c r="Z38" s="838"/>
      <c r="AA38" s="838"/>
      <c r="AB38" s="838"/>
      <c r="AC38" s="790" t="s">
        <v>564</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564</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439</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440</v>
      </c>
      <c r="BI40" s="1667">
        <v>14</v>
      </c>
    </row>
    <row customHeight="1" ht="14.699999999999998">
      <c r="Q41" s="803"/>
      <c r="R41" s="888"/>
      <c r="S41" s="2785" t="s">
        <v>90</v>
      </c>
      <c r="T41" s="2721" t="s">
        <v>645</v>
      </c>
      <c r="U41" s="813"/>
      <c r="V41" s="2786" t="s">
        <v>566</v>
      </c>
      <c r="W41" s="2787"/>
      <c r="X41" s="2787"/>
      <c r="Y41" s="2787"/>
      <c r="Z41" s="2787"/>
      <c r="AA41" s="2787"/>
      <c r="AB41" s="2788"/>
      <c r="AC41" s="2789" t="s">
        <v>567</v>
      </c>
      <c r="AD41" s="2840" t="s">
        <v>646</v>
      </c>
      <c r="AE41" s="2803"/>
      <c r="AF41" s="2803"/>
      <c r="AG41" s="2841"/>
      <c r="AH41" s="2840" t="s">
        <v>647</v>
      </c>
      <c r="AI41" s="2803"/>
      <c r="AJ41" s="2803"/>
      <c r="AK41" s="2841"/>
      <c r="AL41" s="2840" t="s">
        <v>648</v>
      </c>
      <c r="AM41" s="2803"/>
      <c r="AN41" s="2803"/>
      <c r="AO41" s="2841"/>
      <c r="AP41" s="2840" t="s">
        <v>649</v>
      </c>
      <c r="AQ41" s="2803"/>
      <c r="AR41" s="2803"/>
      <c r="AS41" s="2841"/>
      <c r="AT41" s="2786" t="s">
        <v>566</v>
      </c>
      <c r="AU41" s="2787"/>
      <c r="AV41" s="2787"/>
      <c r="AW41" s="2787"/>
      <c r="AX41" s="2787"/>
      <c r="AY41" s="2787"/>
      <c r="AZ41" s="2788"/>
      <c r="BA41" s="2789" t="s">
        <v>567</v>
      </c>
      <c r="BB41" s="2792" t="s">
        <v>569</v>
      </c>
      <c r="BC41" s="2639"/>
      <c r="BI41" s="1667">
        <v>14</v>
      </c>
    </row>
    <row customHeight="1" ht="35.699999999999996">
      <c r="Q42" s="803"/>
      <c r="R42" s="888"/>
      <c r="S42" s="2785"/>
      <c r="T42" s="2721"/>
      <c r="U42" s="1543"/>
      <c r="V42" s="2704" t="s">
        <v>650</v>
      </c>
      <c r="W42" s="2705"/>
      <c r="X42" s="2704" t="s">
        <v>651</v>
      </c>
      <c r="Y42" s="2705"/>
      <c r="Z42" s="2806" t="s">
        <v>652</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650</v>
      </c>
      <c r="AU42" s="2705"/>
      <c r="AV42" s="2704" t="s">
        <v>651</v>
      </c>
      <c r="AW42" s="2705"/>
      <c r="AX42" s="2806" t="s">
        <v>652</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201</v>
      </c>
      <c r="C44" s="1882" t="s">
        <v>202</v>
      </c>
      <c r="D44" s="1882" t="s">
        <v>203</v>
      </c>
      <c r="E44" s="1876" t="s">
        <v>574</v>
      </c>
      <c r="F44" s="1876" t="s">
        <v>575</v>
      </c>
      <c r="G44" s="1876" t="s">
        <v>576</v>
      </c>
      <c r="H44" s="1876" t="s">
        <v>577</v>
      </c>
      <c r="I44" s="1876" t="s">
        <v>578</v>
      </c>
      <c r="J44" s="1876" t="s">
        <v>579</v>
      </c>
      <c r="K44" s="1876" t="s">
        <v>580</v>
      </c>
      <c r="L44" s="1876" t="s">
        <v>555</v>
      </c>
      <c r="Q44" s="803"/>
      <c r="R44" s="888"/>
      <c r="S44" s="2785"/>
      <c r="T44" s="2721"/>
      <c r="U44" s="814"/>
      <c r="V44" s="1960" t="s">
        <v>614</v>
      </c>
      <c r="W44" s="1960" t="s">
        <v>615</v>
      </c>
      <c r="X44" s="1960" t="s">
        <v>614</v>
      </c>
      <c r="Y44" s="1960" t="s">
        <v>615</v>
      </c>
      <c r="Z44" s="1967" t="s">
        <v>583</v>
      </c>
      <c r="AA44" s="2782" t="s">
        <v>584</v>
      </c>
      <c r="AB44" s="2783"/>
      <c r="AC44" s="2791"/>
      <c r="AD44" s="2845"/>
      <c r="AE44" s="2846"/>
      <c r="AF44" s="2846"/>
      <c r="AG44" s="2847"/>
      <c r="AH44" s="2845"/>
      <c r="AI44" s="2846"/>
      <c r="AJ44" s="2846"/>
      <c r="AK44" s="2847"/>
      <c r="AL44" s="2845"/>
      <c r="AM44" s="2846"/>
      <c r="AN44" s="2846"/>
      <c r="AO44" s="2847"/>
      <c r="AP44" s="2845"/>
      <c r="AQ44" s="2846"/>
      <c r="AR44" s="2846"/>
      <c r="AS44" s="2847"/>
      <c r="AT44" s="1960" t="s">
        <v>614</v>
      </c>
      <c r="AU44" s="1960" t="s">
        <v>615</v>
      </c>
      <c r="AV44" s="1960" t="s">
        <v>614</v>
      </c>
      <c r="AW44" s="1960" t="s">
        <v>615</v>
      </c>
      <c r="AX44" s="1967" t="s">
        <v>583</v>
      </c>
      <c r="AY44" s="2782" t="s">
        <v>584</v>
      </c>
      <c r="AZ44" s="2783"/>
      <c r="BA44" s="2791"/>
      <c r="BB44" s="2794"/>
      <c r="BC44" s="2639"/>
      <c r="BI44" s="1667">
        <v>14</v>
      </c>
    </row>
    <row s="51564"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63">
        <f>OFFSET(V45,0,-1)+1</f>
        <v>3</v>
      </c>
      <c r="W45" s="1963">
        <f>OFFSET(W45,0,-1)+1</f>
        <v>4</v>
      </c>
      <c r="X45" s="1963">
        <f>OFFSET(X45,0,-1)+1</f>
        <v>5</v>
      </c>
      <c r="Y45" s="1963">
        <f>OFFSET(Y45,0,-1)+1</f>
        <v>6</v>
      </c>
      <c r="Z45" s="1963">
        <f>OFFSET(Z45,0,-1)+1</f>
        <v>7</v>
      </c>
      <c r="AA45" s="2784">
        <f>OFFSET(AA45,0,-1)+1</f>
        <v>8</v>
      </c>
      <c r="AB45" s="2784"/>
      <c r="AC45" s="1963">
        <f>OFFSET(AC45,0,-2)+1</f>
        <v>9</v>
      </c>
      <c r="AD45" s="1963">
        <f>OFFSET(AD45,0,-1)+1</f>
        <v>10</v>
      </c>
      <c r="AE45" s="1963"/>
      <c r="AF45" s="1963"/>
      <c r="AG45" s="1963"/>
      <c r="AH45" s="1963"/>
      <c r="AI45" s="1963"/>
      <c r="AJ45" s="1963"/>
      <c r="AK45" s="1963"/>
      <c r="AL45" s="1963"/>
      <c r="AM45" s="1963"/>
      <c r="AN45" s="1963"/>
      <c r="AO45" s="1963"/>
      <c r="AP45" s="1963"/>
      <c r="AQ45" s="1963"/>
      <c r="AR45" s="1963"/>
      <c r="AS45" s="1963"/>
      <c r="AT45" s="1963"/>
      <c r="AU45" s="1963"/>
      <c r="AV45" s="1963"/>
      <c r="AW45" s="1963">
        <f>OFFSET(AW45,0,-1)+1</f>
        <v>1</v>
      </c>
      <c r="AX45" s="1963">
        <f>OFFSET(AX45,0,-1)+1</f>
        <v>2</v>
      </c>
      <c r="AY45" s="2784">
        <f>OFFSET(AY45,0,-1)+1</f>
        <v>3</v>
      </c>
      <c r="AZ45" s="2784"/>
      <c r="BA45" s="1963">
        <f>OFFSET(BA45,0,-2)+1</f>
        <v>4</v>
      </c>
      <c r="BB45" s="1757">
        <f>OFFSET(BB45,0,-1)</f>
        <v>4</v>
      </c>
      <c r="BC45" s="1963">
        <f>OFFSET(BC45,0,-1)+1</f>
        <v>5</v>
      </c>
      <c r="BD45" s="1023"/>
      <c r="BE45" s="1023"/>
      <c r="BF45" s="1023"/>
      <c r="BG45" s="1023"/>
      <c r="BH45" s="1023"/>
      <c r="BI45" s="1008">
        <v>0</v>
      </c>
    </row>
    <row customHeight="1" ht="22.049999999999997">
      <c r="A46" s="1875" t="s">
        <v>385</v>
      </c>
      <c r="B46" s="1875"/>
      <c r="C46" s="1875"/>
      <c r="D46" s="1875"/>
      <c r="E46" s="2770">
        <v>1</v>
      </c>
      <c r="F46" s="1875"/>
      <c r="G46" s="1875"/>
      <c r="H46" s="1875"/>
      <c r="I46" s="1875"/>
      <c r="J46" s="1875"/>
      <c r="K46" s="1875"/>
      <c r="L46" s="1876"/>
      <c r="M46" s="1877"/>
      <c r="N46" s="1877"/>
      <c r="O46" s="1877"/>
      <c r="P46" s="1921"/>
      <c r="Q46" s="1385"/>
      <c r="R46" s="867"/>
      <c r="S46" s="1969">
        <f>INDEX(PT_DIFFERENTIATION_NUM_NTAR,MATCH(A46,PT_DIFFERENTIATION_NTAR_ID,0))</f>
        <v>0</v>
      </c>
      <c r="T46" s="810" t="s">
        <v>189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385</v>
      </c>
      <c r="B47" s="1875" t="s">
        <v>386</v>
      </c>
      <c r="C47" s="1875"/>
      <c r="D47" s="1875"/>
      <c r="E47" s="2771"/>
      <c r="F47" s="2770">
        <v>1</v>
      </c>
      <c r="G47" s="1875"/>
      <c r="H47" s="1875"/>
      <c r="I47" s="1875"/>
      <c r="J47" s="1875"/>
      <c r="K47" s="1875"/>
      <c r="L47" s="1876"/>
      <c r="M47" s="1877"/>
      <c r="N47" s="1877"/>
      <c r="O47" s="1877"/>
      <c r="P47" s="1922"/>
      <c r="Q47" s="1923"/>
      <c r="R47" s="865"/>
      <c r="S47" s="1969" t="str">
        <f>INDEX(PT_DIFFERENTIATION_NUM_TER,MATCH(B47,PT_DIFFERENTIATION_TER_ID,0))</f>
        <v>.</v>
      </c>
      <c r="T47" s="820" t="s">
        <v>536</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537</v>
      </c>
      <c r="BE47" s="1012"/>
      <c r="BF47" s="1012" t="str">
        <f>IF(T47="","",T47)</f>
        <v>Территория действия тарифа</v>
      </c>
      <c r="BG47" s="1012"/>
      <c r="BH47" s="1012"/>
      <c r="BI47" s="1667">
        <v>21</v>
      </c>
    </row>
    <row customHeight="1" ht="43.050000000000004">
      <c r="A48" s="1875" t="s">
        <v>385</v>
      </c>
      <c r="B48" s="1875" t="s">
        <v>386</v>
      </c>
      <c r="C48" s="1875" t="s">
        <v>387</v>
      </c>
      <c r="D48" s="1875"/>
      <c r="E48" s="2771"/>
      <c r="F48" s="2771"/>
      <c r="G48" s="2770">
        <v>1</v>
      </c>
      <c r="H48" s="1875"/>
      <c r="I48" s="1875"/>
      <c r="J48" s="1875"/>
      <c r="K48" s="1875"/>
      <c r="L48" s="1876"/>
      <c r="M48" s="1877"/>
      <c r="N48" s="1877"/>
      <c r="O48" s="1877"/>
      <c r="P48" s="1924"/>
      <c r="Q48" s="1923"/>
      <c r="R48" s="865"/>
      <c r="S48" s="1969" t="str">
        <f>INDEX(PT_DIFFERENTIATION_NUM_CS,MATCH(C48,PT_DIFFERENTIATION_CS_ID,0))</f>
        <v>..</v>
      </c>
      <c r="T48" s="821" t="s">
        <v>617</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618</v>
      </c>
      <c r="BE48" s="1012"/>
      <c r="BF48" s="1012" t="str">
        <f>IF(T48="","",T48)</f>
        <v>Наименование централизованной системы холодного водоснабжения</v>
      </c>
      <c r="BG48" s="1012"/>
      <c r="BH48" s="1012"/>
      <c r="BI48" s="1667">
        <v>41</v>
      </c>
    </row>
    <row s="50882" customFormat="1" customHeight="1" ht="0">
      <c r="A49" s="1855" t="s">
        <v>385</v>
      </c>
      <c r="B49" s="1855" t="s">
        <v>386</v>
      </c>
      <c r="C49" s="1855" t="s">
        <v>387</v>
      </c>
      <c r="D49" s="1855" t="s">
        <v>653</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541</v>
      </c>
      <c r="BE49" s="1012"/>
      <c r="BF49" s="1012" t="str">
        <f>IF(T49="","",T49)</f>
        <v/>
      </c>
      <c r="BG49" s="1012"/>
      <c r="BH49" s="1012"/>
      <c r="BI49" s="1023">
        <v>0</v>
      </c>
    </row>
    <row s="50882" customFormat="1" customHeight="1" ht="0">
      <c r="A50" s="1855" t="s">
        <v>385</v>
      </c>
      <c r="B50" s="1855" t="s">
        <v>386</v>
      </c>
      <c r="C50" s="1855" t="s">
        <v>387</v>
      </c>
      <c r="D50" s="1855" t="s">
        <v>653</v>
      </c>
      <c r="E50" s="2771"/>
      <c r="F50" s="2771"/>
      <c r="G50" s="2771"/>
      <c r="H50" s="2771"/>
      <c r="I50" s="2768" t="str">
        <f>S49&amp;".1"</f>
        <v>.1</v>
      </c>
      <c r="J50" s="1855"/>
      <c r="K50" s="1855"/>
      <c r="L50" s="1858" t="s">
        <v>542</v>
      </c>
      <c r="M50" s="1022"/>
      <c r="N50" s="1022"/>
      <c r="O50" s="1022"/>
      <c r="P50" s="2769">
        <v>1</v>
      </c>
      <c r="Q50" s="1974"/>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50882" customFormat="1" customHeight="1" ht="0">
      <c r="A51" s="1855" t="s">
        <v>385</v>
      </c>
      <c r="B51" s="1855" t="s">
        <v>386</v>
      </c>
      <c r="C51" s="1855" t="s">
        <v>387</v>
      </c>
      <c r="D51" s="1855" t="s">
        <v>653</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385</v>
      </c>
      <c r="B52" s="1875" t="s">
        <v>386</v>
      </c>
      <c r="C52" s="1875" t="s">
        <v>387</v>
      </c>
      <c r="D52" s="1875" t="s">
        <v>653</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71" t="s">
        <v>63</v>
      </c>
      <c r="AB52" s="2246"/>
      <c r="AC52" s="197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75">
        <v>1</v>
      </c>
      <c r="AS52" s="1978" t="s">
        <v>28</v>
      </c>
      <c r="AT52" s="1263"/>
      <c r="AU52" s="1769"/>
      <c r="AV52" s="1263"/>
      <c r="AW52" s="1769"/>
      <c r="AX52" s="2246"/>
      <c r="AY52" s="1971" t="s">
        <v>63</v>
      </c>
      <c r="AZ52" s="2246"/>
      <c r="BA52" s="1971" t="s">
        <v>63</v>
      </c>
      <c r="BB52" s="1860"/>
      <c r="BC52" s="2765" t="s">
        <v>639</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640</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385</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641</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385</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642</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385</v>
      </c>
      <c r="B56" s="1875" t="s">
        <v>386</v>
      </c>
      <c r="C56" s="1875" t="s">
        <v>387</v>
      </c>
      <c r="D56" s="1875" t="s">
        <v>653</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643</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385</v>
      </c>
      <c r="B57" s="1875" t="s">
        <v>386</v>
      </c>
      <c r="C57" s="1875" t="s">
        <v>387</v>
      </c>
      <c r="D57" s="1875" t="s">
        <v>653</v>
      </c>
      <c r="E57" s="2771"/>
      <c r="F57" s="2771"/>
      <c r="G57" s="2771"/>
      <c r="H57" s="2771"/>
      <c r="I57" s="2798"/>
      <c r="J57" s="2768"/>
      <c r="K57" s="1875"/>
      <c r="L57" s="1876"/>
      <c r="P57" s="2769"/>
      <c r="Q57" s="2769"/>
      <c r="R57" s="868"/>
      <c r="S57" s="1790"/>
      <c r="T57" s="799" t="s">
        <v>604</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50882" customFormat="1" customHeight="1" ht="0">
      <c r="A58" s="1855" t="s">
        <v>385</v>
      </c>
      <c r="B58" s="1855" t="s">
        <v>386</v>
      </c>
      <c r="C58" s="1855" t="s">
        <v>387</v>
      </c>
      <c r="D58" s="1855" t="s">
        <v>653</v>
      </c>
      <c r="E58" s="2771"/>
      <c r="F58" s="2771"/>
      <c r="G58" s="2771"/>
      <c r="H58" s="2771"/>
      <c r="I58" s="2768"/>
      <c r="J58" s="1855"/>
      <c r="K58" s="1855"/>
      <c r="L58" s="1858"/>
      <c r="M58" s="1022"/>
      <c r="N58" s="1022"/>
      <c r="O58" s="1022"/>
      <c r="P58" s="2769"/>
      <c r="Q58" s="1974"/>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50882" customFormat="1" customHeight="1" ht="0">
      <c r="A59" s="1855" t="s">
        <v>385</v>
      </c>
      <c r="B59" s="1855" t="s">
        <v>386</v>
      </c>
      <c r="C59" s="1855" t="s">
        <v>387</v>
      </c>
      <c r="D59" s="1855" t="s">
        <v>653</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50882" customFormat="1" customHeight="1" ht="0">
      <c r="A60" s="1855" t="s">
        <v>385</v>
      </c>
      <c r="B60" s="1855" t="s">
        <v>386</v>
      </c>
      <c r="C60" s="1855" t="s">
        <v>387</v>
      </c>
      <c r="D60" s="1826"/>
      <c r="E60" s="2771"/>
      <c r="F60" s="2771"/>
      <c r="G60" s="2770"/>
      <c r="H60" s="1826"/>
      <c r="I60" s="1826"/>
      <c r="J60" s="1826"/>
      <c r="K60" s="1826"/>
      <c r="L60" s="197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50882" customFormat="1" customHeight="1" ht="0">
      <c r="A61" s="1855" t="s">
        <v>385</v>
      </c>
      <c r="B61" s="1855" t="s">
        <v>386</v>
      </c>
      <c r="C61" s="1826"/>
      <c r="D61" s="1826"/>
      <c r="E61" s="2771"/>
      <c r="F61" s="2770"/>
      <c r="G61" s="1826"/>
      <c r="H61" s="1826"/>
      <c r="I61" s="1826"/>
      <c r="J61" s="1826"/>
      <c r="K61" s="1826"/>
      <c r="L61" s="1976"/>
      <c r="M61" s="1833"/>
      <c r="N61" s="1833"/>
      <c r="P61" s="1828"/>
      <c r="Q61" s="1829"/>
      <c r="R61" s="1828"/>
      <c r="S61" s="1834"/>
      <c r="T61" s="1837" t="s">
        <v>290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50882" customFormat="1" customHeight="1" ht="0">
      <c r="A62" s="1855" t="s">
        <v>385</v>
      </c>
      <c r="B62" s="1855"/>
      <c r="C62" s="1855"/>
      <c r="D62" s="1855"/>
      <c r="E62" s="2770"/>
      <c r="F62" s="1855"/>
      <c r="G62" s="1855"/>
      <c r="H62" s="1855"/>
      <c r="I62" s="1855"/>
      <c r="J62" s="1855"/>
      <c r="K62" s="1855"/>
      <c r="L62" s="1858"/>
      <c r="M62" s="1833"/>
      <c r="N62" s="1833"/>
      <c r="O62" s="1030"/>
      <c r="P62" s="892"/>
      <c r="Q62" s="1856"/>
      <c r="R62" s="892"/>
      <c r="S62" s="1834"/>
      <c r="T62" s="1837" t="s">
        <v>365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50882" customFormat="1" customHeight="1" ht="0">
      <c r="A63" s="1826"/>
      <c r="B63" s="1826"/>
      <c r="C63" s="1826"/>
      <c r="D63" s="1826"/>
      <c r="E63" s="1855"/>
      <c r="F63" s="1826"/>
      <c r="G63" s="1826"/>
      <c r="H63" s="1826"/>
      <c r="I63" s="1826"/>
      <c r="J63" s="1826"/>
      <c r="K63" s="1826"/>
      <c r="L63" s="1976"/>
      <c r="M63" s="1833"/>
      <c r="N63" s="1833"/>
      <c r="P63" s="1828"/>
      <c r="Q63" s="1829"/>
      <c r="R63" s="1828"/>
      <c r="S63" s="1834"/>
      <c r="T63" s="1837" t="s">
        <v>366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61"/>
      <c r="U66" s="1961"/>
      <c r="V66" s="1961"/>
      <c r="W66" s="1961"/>
      <c r="X66" s="1961"/>
      <c r="Y66" s="1961"/>
      <c r="Z66" s="1961"/>
      <c r="AA66" s="1961"/>
      <c r="AB66" s="1961"/>
      <c r="AC66" s="1961"/>
      <c r="AD66" s="1961"/>
      <c r="AE66" s="1961"/>
      <c r="AF66" s="1961"/>
      <c r="AG66" s="1961"/>
      <c r="AH66" s="1961"/>
      <c r="AI66" s="1961"/>
      <c r="AJ66" s="1961"/>
      <c r="AK66" s="1961"/>
      <c r="AL66" s="1961"/>
      <c r="AM66" s="1961"/>
      <c r="AN66" s="1961"/>
      <c r="AO66" s="1961"/>
      <c r="AP66" s="1961"/>
      <c r="AQ66" s="1961"/>
      <c r="AR66" s="1961"/>
      <c r="AS66" s="1961"/>
      <c r="AT66" s="1961"/>
      <c r="AU66" s="1961"/>
      <c r="AV66" s="1961"/>
      <c r="AW66" s="1961"/>
      <c r="AX66" s="1961"/>
      <c r="AY66" s="1961"/>
      <c r="AZ66" s="1961"/>
      <c r="BA66" s="1961"/>
      <c r="BB66" s="1961"/>
      <c r="BC66" s="1961"/>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73">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8B1B36-825E-6D96-7F05-8559E94634B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1.00390625" customWidth="1"/>
    <col min="33" max="33" style="50801" width="3.7109375" customWidth="1"/>
    <col min="34" max="34" style="50801" width="11.00390625" customWidth="1"/>
    <col min="35" max="35" style="50801" width="8.57421875" hidden="1" customWidth="1"/>
    <col min="36" max="36" style="50801" width="4.00390625" customWidth="1"/>
    <col min="37" max="37" style="50801" width="115.00390625" customWidth="1"/>
    <col min="38" max="42" style="50882" width="10.00390625" customWidth="1"/>
    <col min="43" max="43" style="50801"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537</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654</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655</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619</v>
      </c>
      <c r="U5" s="812"/>
      <c r="V5" s="2862"/>
      <c r="W5" s="2863"/>
      <c r="X5" s="2863"/>
      <c r="Y5" s="2863"/>
      <c r="Z5" s="2863"/>
      <c r="AA5" s="2863"/>
      <c r="AB5" s="2864"/>
      <c r="AC5" s="2865"/>
      <c r="AD5" s="2866"/>
      <c r="AE5" s="2866"/>
      <c r="AF5" s="2866"/>
      <c r="AG5" s="2866"/>
      <c r="AH5" s="2866"/>
      <c r="AI5" s="2866"/>
      <c r="AJ5" s="2867"/>
      <c r="AK5" s="1770" t="s">
        <v>620</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545</v>
      </c>
      <c r="P6" s="2769"/>
      <c r="Q6" s="2769">
        <v>1</v>
      </c>
      <c r="R6" s="869"/>
      <c r="S6" s="2005">
        <f>$J6</f>
      </c>
      <c r="T6" s="798" t="s">
        <v>546</v>
      </c>
      <c r="U6" s="812"/>
      <c r="V6" s="2757"/>
      <c r="W6" s="2758"/>
      <c r="X6" s="2758"/>
      <c r="Y6" s="2758"/>
      <c r="Z6" s="2758"/>
      <c r="AA6" s="2758"/>
      <c r="AB6" s="2759"/>
      <c r="AC6" s="2757"/>
      <c r="AD6" s="2758"/>
      <c r="AE6" s="2758"/>
      <c r="AF6" s="2758"/>
      <c r="AG6" s="2758"/>
      <c r="AH6" s="2758"/>
      <c r="AI6" s="2758"/>
      <c r="AJ6" s="2759"/>
      <c r="AK6" s="1819" t="s">
        <v>621</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879"/>
      <c r="AK9" s="1770" t="s">
        <v>623</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551</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50882"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50881" customFormat="1" customHeight="1" ht="22.5" hidden="1">
      <c r="L18" s="1990"/>
      <c r="M18" s="1874"/>
      <c r="N18" s="1874"/>
      <c r="O18" s="1879" t="s">
        <v>554</v>
      </c>
      <c r="P18" s="1874"/>
      <c r="Q18" s="1883"/>
      <c r="R18" s="1883"/>
      <c r="S18" s="1241"/>
      <c r="Y18" s="1879"/>
      <c r="AA18" s="1879"/>
      <c r="AB18" s="1878"/>
      <c r="AF18" s="1879"/>
      <c r="AH18" s="1879"/>
      <c r="AI18" s="1878"/>
      <c r="AL18" s="1023"/>
      <c r="AM18" s="1023"/>
      <c r="AN18" s="1023"/>
      <c r="AO18" s="1023"/>
      <c r="AP18" s="1023"/>
      <c r="AQ18" s="1672">
        <v>0</v>
      </c>
    </row>
    <row s="50881" customFormat="1" customHeight="1" ht="14.25" hidden="1">
      <c r="L19" s="1990"/>
      <c r="M19" s="1874"/>
      <c r="N19" s="1874"/>
      <c r="O19" s="1874"/>
      <c r="P19" s="1874"/>
      <c r="Q19" s="1883"/>
      <c r="R19" s="1883"/>
      <c r="S19" s="1241"/>
      <c r="AB19" s="1878"/>
      <c r="AI19" s="1878"/>
      <c r="AL19" s="1023"/>
      <c r="AM19" s="1023"/>
      <c r="AN19" s="1023"/>
      <c r="AO19" s="1023"/>
      <c r="AP19" s="1023"/>
      <c r="AQ19" s="1672">
        <v>0</v>
      </c>
    </row>
    <row s="50881" customFormat="1" customHeight="1" ht="12" hidden="1">
      <c r="L20" s="1990"/>
      <c r="M20" s="1874"/>
      <c r="N20" s="1874"/>
      <c r="O20" s="1876" t="s">
        <v>555</v>
      </c>
      <c r="P20" s="1874"/>
      <c r="Q20" s="1954"/>
      <c r="R20" s="1954"/>
      <c r="S20" s="1241"/>
      <c r="T20" s="1672" t="s">
        <v>556</v>
      </c>
      <c r="Z20" s="698" t="s">
        <v>557</v>
      </c>
      <c r="AB20" s="698" t="s">
        <v>558</v>
      </c>
      <c r="AC20" s="1672" t="s">
        <v>556</v>
      </c>
      <c r="AG20" s="698" t="s">
        <v>559</v>
      </c>
      <c r="AI20" s="698" t="s">
        <v>558</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838"/>
      <c r="AK28" s="792"/>
      <c r="AL28" s="880"/>
      <c r="AM28" s="880"/>
      <c r="AN28" s="880"/>
      <c r="AO28" s="880"/>
      <c r="AP28" s="880"/>
      <c r="AQ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838"/>
      <c r="AK32" s="792"/>
      <c r="AL32" s="880"/>
      <c r="AM32" s="880"/>
      <c r="AN32" s="880"/>
      <c r="AO32" s="880"/>
      <c r="AP32" s="880"/>
      <c r="AQ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564</v>
      </c>
      <c r="AC34" s="838"/>
      <c r="AD34" s="838"/>
      <c r="AE34" s="838"/>
      <c r="AF34" s="838"/>
      <c r="AG34" s="838"/>
      <c r="AH34" s="838"/>
      <c r="AI34" s="790" t="s">
        <v>564</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2639"/>
      <c r="AK36" s="2639" t="s">
        <v>440</v>
      </c>
      <c r="AQ36" s="1667">
        <v>14</v>
      </c>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2792" t="s">
        <v>569</v>
      </c>
      <c r="AK37" s="2639"/>
      <c r="AQ37" s="1667">
        <v>14</v>
      </c>
    </row>
    <row customHeight="1" ht="35.699999999999996">
      <c r="Q38" s="888"/>
      <c r="R38" s="888"/>
      <c r="S38" s="2785"/>
      <c r="T38" s="2721"/>
      <c r="U38" s="1543"/>
      <c r="V38" s="1995" t="s">
        <v>625</v>
      </c>
      <c r="W38" s="2774" t="s">
        <v>572</v>
      </c>
      <c r="X38" s="2775"/>
      <c r="Y38" s="2774" t="s">
        <v>573</v>
      </c>
      <c r="Z38" s="2781"/>
      <c r="AA38" s="2775"/>
      <c r="AB38" s="2790"/>
      <c r="AC38" s="1995" t="s">
        <v>625</v>
      </c>
      <c r="AD38" s="2774" t="s">
        <v>572</v>
      </c>
      <c r="AE38" s="2775"/>
      <c r="AF38" s="2774" t="s">
        <v>573</v>
      </c>
      <c r="AG38" s="2781"/>
      <c r="AH38" s="2775"/>
      <c r="AI38" s="2790"/>
      <c r="AJ38" s="2793"/>
      <c r="AK38" s="2639"/>
      <c r="AQ38" s="1667">
        <v>34</v>
      </c>
    </row>
    <row customHeight="1" ht="90.3">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995" t="s">
        <v>656</v>
      </c>
      <c r="W39" s="1734" t="s">
        <v>657</v>
      </c>
      <c r="X39" s="1734" t="s">
        <v>630</v>
      </c>
      <c r="Y39" s="2001" t="s">
        <v>583</v>
      </c>
      <c r="Z39" s="2782" t="s">
        <v>584</v>
      </c>
      <c r="AA39" s="2783"/>
      <c r="AB39" s="2791"/>
      <c r="AC39" s="1995" t="s">
        <v>656</v>
      </c>
      <c r="AD39" s="1734" t="s">
        <v>657</v>
      </c>
      <c r="AE39" s="1734" t="s">
        <v>630</v>
      </c>
      <c r="AF39" s="2001" t="s">
        <v>583</v>
      </c>
      <c r="AG39" s="2782" t="s">
        <v>584</v>
      </c>
      <c r="AH39" s="2783"/>
      <c r="AI39" s="2791"/>
      <c r="AJ39" s="2794"/>
      <c r="AK39" s="2639"/>
      <c r="AQ39" s="1667">
        <v>86</v>
      </c>
    </row>
    <row s="51564"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405</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189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405</v>
      </c>
      <c r="B42" s="1875" t="s">
        <v>406</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536</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537</v>
      </c>
      <c r="AM42" s="1012"/>
      <c r="AN42" s="1012" t="str">
        <f>IF(T42="","",T42)</f>
        <v>Территория действия тарифа</v>
      </c>
      <c r="AO42" s="1012"/>
      <c r="AP42" s="1012"/>
      <c r="AQ42" s="1667">
        <v>23</v>
      </c>
    </row>
    <row customHeight="1" ht="24">
      <c r="A43" s="1875" t="s">
        <v>405</v>
      </c>
      <c r="B43" s="1875" t="s">
        <v>406</v>
      </c>
      <c r="C43" s="1875" t="s">
        <v>407</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654</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655</v>
      </c>
      <c r="AM43" s="1012"/>
      <c r="AN43" s="1012" t="str">
        <f>IF(T43="","",T43)</f>
        <v>Наименование централизованной системы водоотведения</v>
      </c>
      <c r="AO43" s="1012"/>
      <c r="AP43" s="1012"/>
      <c r="AQ43" s="1667">
        <v>23</v>
      </c>
    </row>
    <row customHeight="1" ht="24">
      <c r="A44" s="1875" t="s">
        <v>405</v>
      </c>
      <c r="B44" s="1875" t="s">
        <v>406</v>
      </c>
      <c r="C44" s="1875" t="s">
        <v>407</v>
      </c>
      <c r="D44" s="1875" t="s">
        <v>658</v>
      </c>
      <c r="E44" s="2771"/>
      <c r="F44" s="2771"/>
      <c r="G44" s="2771"/>
      <c r="H44" s="2771"/>
      <c r="I44" s="2768" t="str">
        <f>S43&amp;".1"</f>
        <v>...1</v>
      </c>
      <c r="J44" s="1875"/>
      <c r="K44" s="1875"/>
      <c r="L44" s="1876"/>
      <c r="P44" s="2769">
        <v>1</v>
      </c>
      <c r="Q44" s="1993"/>
      <c r="R44" s="868"/>
      <c r="S44" s="2005" t="str">
        <f>$I44</f>
        <v>...1</v>
      </c>
      <c r="T44" s="797" t="s">
        <v>619</v>
      </c>
      <c r="U44" s="812"/>
      <c r="V44" s="2862"/>
      <c r="W44" s="2863"/>
      <c r="X44" s="2863"/>
      <c r="Y44" s="2863"/>
      <c r="Z44" s="2863"/>
      <c r="AA44" s="2863"/>
      <c r="AB44" s="2864"/>
      <c r="AC44" s="2865"/>
      <c r="AD44" s="2866"/>
      <c r="AE44" s="2866"/>
      <c r="AF44" s="2866"/>
      <c r="AG44" s="2866"/>
      <c r="AH44" s="2866"/>
      <c r="AI44" s="2866"/>
      <c r="AJ44" s="2867"/>
      <c r="AK44" s="1770" t="s">
        <v>620</v>
      </c>
      <c r="AM44" s="1012"/>
      <c r="AN44" s="1012" t="str">
        <f>IF(T44="","",T44)</f>
        <v>Наименование признака дифференциации</v>
      </c>
      <c r="AO44" s="1012"/>
      <c r="AP44" s="1012"/>
      <c r="AQ44" s="1667">
        <v>23</v>
      </c>
    </row>
    <row customHeight="1" ht="24">
      <c r="A45" s="1875" t="s">
        <v>405</v>
      </c>
      <c r="B45" s="1875" t="s">
        <v>406</v>
      </c>
      <c r="C45" s="1875" t="s">
        <v>407</v>
      </c>
      <c r="D45" s="1875" t="s">
        <v>658</v>
      </c>
      <c r="E45" s="2771"/>
      <c r="F45" s="2771"/>
      <c r="G45" s="2771"/>
      <c r="H45" s="2771"/>
      <c r="I45" s="2798"/>
      <c r="J45" s="2768" t="str">
        <f>I44&amp;".1"</f>
        <v>...1.1</v>
      </c>
      <c r="K45" s="1875"/>
      <c r="L45" s="1876" t="s">
        <v>545</v>
      </c>
      <c r="P45" s="2769"/>
      <c r="Q45" s="2769">
        <v>1</v>
      </c>
      <c r="R45" s="869"/>
      <c r="S45" s="2005" t="str">
        <f>$J45</f>
        <v>...1.1</v>
      </c>
      <c r="T45" s="798" t="s">
        <v>546</v>
      </c>
      <c r="U45" s="812"/>
      <c r="V45" s="2757"/>
      <c r="W45" s="2758"/>
      <c r="X45" s="2758"/>
      <c r="Y45" s="2758"/>
      <c r="Z45" s="2758"/>
      <c r="AA45" s="2758"/>
      <c r="AB45" s="2759"/>
      <c r="AC45" s="2757"/>
      <c r="AD45" s="2758"/>
      <c r="AE45" s="2758"/>
      <c r="AF45" s="2758"/>
      <c r="AG45" s="2758"/>
      <c r="AH45" s="2758"/>
      <c r="AI45" s="2758"/>
      <c r="AJ45" s="2759"/>
      <c r="AK45" s="1819" t="s">
        <v>621</v>
      </c>
      <c r="AM45" s="1012"/>
      <c r="AN45" s="1012" t="str">
        <f>IF(T45="","",T45)</f>
        <v>Группа потребителей</v>
      </c>
      <c r="AO45" s="1012"/>
      <c r="AP45" s="1012"/>
      <c r="AQ45" s="1667">
        <v>23</v>
      </c>
    </row>
    <row customHeight="1" ht="24">
      <c r="A46" s="1875" t="s">
        <v>405</v>
      </c>
      <c r="B46" s="1875" t="s">
        <v>406</v>
      </c>
      <c r="C46" s="1875" t="s">
        <v>407</v>
      </c>
      <c r="D46" s="1875" t="s">
        <v>658</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63</v>
      </c>
      <c r="AA46" s="2779"/>
      <c r="AB46" s="2780" t="s">
        <v>63</v>
      </c>
      <c r="AC46" s="1263"/>
      <c r="AD46" s="1263"/>
      <c r="AE46" s="1769"/>
      <c r="AF46" s="2777"/>
      <c r="AG46" s="2619" t="s">
        <v>63</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405</v>
      </c>
      <c r="B47" s="1875" t="s">
        <v>406</v>
      </c>
      <c r="C47" s="1875" t="s">
        <v>407</v>
      </c>
      <c r="D47" s="1875" t="s">
        <v>658</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405</v>
      </c>
      <c r="B48" s="1875" t="s">
        <v>406</v>
      </c>
      <c r="C48" s="1875" t="s">
        <v>407</v>
      </c>
      <c r="D48" s="1875" t="s">
        <v>658</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879"/>
      <c r="AK48" s="1770" t="s">
        <v>623</v>
      </c>
      <c r="AM48" s="1012"/>
      <c r="AN48" s="1012" t="str">
        <f>IF(T48="","",T48)</f>
        <v>Добавить значение признака дифференциации</v>
      </c>
      <c r="AO48" s="1012"/>
      <c r="AP48" s="1012"/>
      <c r="AQ48" s="1667">
        <v>20</v>
      </c>
    </row>
    <row customHeight="1" ht="22.049999999999997">
      <c r="A49" s="1875" t="s">
        <v>405</v>
      </c>
      <c r="B49" s="1875" t="s">
        <v>406</v>
      </c>
      <c r="C49" s="1875" t="s">
        <v>407</v>
      </c>
      <c r="D49" s="1875" t="s">
        <v>658</v>
      </c>
      <c r="E49" s="2771"/>
      <c r="F49" s="2771"/>
      <c r="G49" s="2771"/>
      <c r="H49" s="2771"/>
      <c r="I49" s="2768"/>
      <c r="J49" s="1875"/>
      <c r="K49" s="1875"/>
      <c r="L49" s="1876"/>
      <c r="P49" s="2769"/>
      <c r="Q49" s="1993"/>
      <c r="R49" s="868"/>
      <c r="S49" s="1790"/>
      <c r="T49" s="877" t="s">
        <v>551</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405</v>
      </c>
      <c r="B50" s="1875" t="s">
        <v>406</v>
      </c>
      <c r="C50" s="1875" t="s">
        <v>407</v>
      </c>
      <c r="D50" s="1875" t="s">
        <v>658</v>
      </c>
      <c r="E50" s="2771"/>
      <c r="F50" s="2771"/>
      <c r="G50" s="2771"/>
      <c r="H50" s="2770"/>
      <c r="I50" s="1875"/>
      <c r="J50" s="1875"/>
      <c r="K50" s="1875"/>
      <c r="L50" s="1876"/>
      <c r="M50" s="1877"/>
      <c r="N50" s="1877"/>
      <c r="O50" s="1049"/>
      <c r="P50" s="872"/>
      <c r="Q50" s="887"/>
      <c r="R50" s="867"/>
      <c r="S50" s="1790"/>
      <c r="T50" s="884" t="s">
        <v>624</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50882" customFormat="1" customHeight="1" ht="0">
      <c r="A51" s="1855" t="s">
        <v>405</v>
      </c>
      <c r="B51" s="1855" t="s">
        <v>406</v>
      </c>
      <c r="C51" s="1826"/>
      <c r="D51" s="1826"/>
      <c r="E51" s="2771"/>
      <c r="F51" s="2770"/>
      <c r="G51" s="1826"/>
      <c r="H51" s="1826"/>
      <c r="I51" s="1826"/>
      <c r="J51" s="1826"/>
      <c r="K51" s="1826"/>
      <c r="L51" s="2006"/>
      <c r="M51" s="1833"/>
      <c r="N51" s="1833"/>
      <c r="P51" s="1828"/>
      <c r="Q51" s="1829"/>
      <c r="R51" s="1828"/>
      <c r="S51" s="1834"/>
      <c r="T51" s="1837" t="s">
        <v>290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50882" customFormat="1" customHeight="1" ht="0">
      <c r="A52" s="1855" t="s">
        <v>405</v>
      </c>
      <c r="B52" s="1855"/>
      <c r="C52" s="1855"/>
      <c r="D52" s="1855"/>
      <c r="E52" s="2770"/>
      <c r="F52" s="1855"/>
      <c r="G52" s="1855"/>
      <c r="H52" s="1855"/>
      <c r="I52" s="1855"/>
      <c r="J52" s="1855"/>
      <c r="K52" s="1855"/>
      <c r="L52" s="1858"/>
      <c r="M52" s="1833"/>
      <c r="N52" s="1833"/>
      <c r="O52" s="1030"/>
      <c r="P52" s="892"/>
      <c r="Q52" s="1856"/>
      <c r="R52" s="892"/>
      <c r="S52" s="1834"/>
      <c r="T52" s="1837" t="s">
        <v>365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50882"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366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3A434-DC72-6B6D-9F32-0C8D73E88CE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4" style="50801" width="24.7109375" hidden="1" customWidth="1"/>
    <col min="25" max="25" style="50801" width="11.7109375" hidden="1" customWidth="1"/>
    <col min="26" max="26" style="50801" width="3.7109375" hidden="1" customWidth="1"/>
    <col min="27" max="27" style="50801" width="11.7109375" hidden="1" customWidth="1"/>
    <col min="28" max="28" style="50801" width="8.57421875" hidden="1" customWidth="1"/>
    <col min="29" max="29" style="50801" width="24.7109375" customWidth="1"/>
    <col min="30" max="31" style="50801" width="24.00390625" customWidth="1"/>
    <col min="32" max="32" style="50801" width="11.00390625" customWidth="1"/>
    <col min="33" max="33" style="50801" width="3.7109375" customWidth="1"/>
    <col min="34" max="34" style="50801" width="11.00390625" customWidth="1"/>
    <col min="35" max="35" style="50801" width="8.57421875" hidden="1" customWidth="1"/>
    <col min="36" max="36" style="50801" width="4.00390625" customWidth="1"/>
    <col min="37" max="37" style="50801" width="115.00390625" customWidth="1"/>
    <col min="38" max="42" style="50882" width="10.00390625" customWidth="1"/>
    <col min="43" max="43" style="50801"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189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536</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537</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654</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655</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619</v>
      </c>
      <c r="U5" s="812"/>
      <c r="V5" s="2862"/>
      <c r="W5" s="2863"/>
      <c r="X5" s="2863"/>
      <c r="Y5" s="2863"/>
      <c r="Z5" s="2863"/>
      <c r="AA5" s="2863"/>
      <c r="AB5" s="2864"/>
      <c r="AC5" s="2865"/>
      <c r="AD5" s="2866"/>
      <c r="AE5" s="2866"/>
      <c r="AF5" s="2866"/>
      <c r="AG5" s="2866"/>
      <c r="AH5" s="2866"/>
      <c r="AI5" s="2866"/>
      <c r="AJ5" s="2867"/>
      <c r="AK5" s="1770" t="s">
        <v>620</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545</v>
      </c>
      <c r="P6" s="2769"/>
      <c r="Q6" s="2769">
        <v>1</v>
      </c>
      <c r="R6" s="869"/>
      <c r="S6" s="2005">
        <f>$J6</f>
      </c>
      <c r="T6" s="798" t="s">
        <v>546</v>
      </c>
      <c r="U6" s="812"/>
      <c r="V6" s="2757"/>
      <c r="W6" s="2758"/>
      <c r="X6" s="2758"/>
      <c r="Y6" s="2758"/>
      <c r="Z6" s="2758"/>
      <c r="AA6" s="2758"/>
      <c r="AB6" s="2759"/>
      <c r="AC6" s="2757"/>
      <c r="AD6" s="2758"/>
      <c r="AE6" s="2758"/>
      <c r="AF6" s="2758"/>
      <c r="AG6" s="2758"/>
      <c r="AH6" s="2758"/>
      <c r="AI6" s="2758"/>
      <c r="AJ6" s="2759"/>
      <c r="AK6" s="1819" t="s">
        <v>621</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879"/>
      <c r="X9" s="879"/>
      <c r="Y9" s="879"/>
      <c r="Z9" s="879"/>
      <c r="AA9" s="879"/>
      <c r="AB9" s="879"/>
      <c r="AC9" s="879"/>
      <c r="AD9" s="879"/>
      <c r="AE9" s="879"/>
      <c r="AF9" s="879"/>
      <c r="AG9" s="879"/>
      <c r="AH9" s="879"/>
      <c r="AI9" s="879"/>
      <c r="AJ9" s="879"/>
      <c r="AK9" s="1770" t="s">
        <v>623</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551</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50882"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50881" customFormat="1" customHeight="1" ht="22.5" hidden="1">
      <c r="L18" s="1990"/>
      <c r="M18" s="1874"/>
      <c r="N18" s="1874"/>
      <c r="O18" s="1879" t="s">
        <v>554</v>
      </c>
      <c r="P18" s="1874"/>
      <c r="Q18" s="1883"/>
      <c r="R18" s="1883"/>
      <c r="S18" s="1241"/>
      <c r="Y18" s="1879"/>
      <c r="AA18" s="1879"/>
      <c r="AB18" s="1878"/>
      <c r="AF18" s="1879"/>
      <c r="AH18" s="1879"/>
      <c r="AI18" s="1878"/>
      <c r="AL18" s="1023"/>
      <c r="AM18" s="1023"/>
      <c r="AN18" s="1023"/>
      <c r="AO18" s="1023"/>
      <c r="AP18" s="1023"/>
      <c r="AQ18" s="1672">
        <v>0</v>
      </c>
    </row>
    <row s="50881" customFormat="1" customHeight="1" ht="14.25" hidden="1">
      <c r="L19" s="1990"/>
      <c r="M19" s="1874"/>
      <c r="N19" s="1874"/>
      <c r="O19" s="1874"/>
      <c r="P19" s="1874"/>
      <c r="Q19" s="1883"/>
      <c r="R19" s="1883"/>
      <c r="S19" s="1241"/>
      <c r="AB19" s="1878"/>
      <c r="AI19" s="1878"/>
      <c r="AL19" s="1023"/>
      <c r="AM19" s="1023"/>
      <c r="AN19" s="1023"/>
      <c r="AO19" s="1023"/>
      <c r="AP19" s="1023"/>
      <c r="AQ19" s="1672">
        <v>0</v>
      </c>
    </row>
    <row s="50881" customFormat="1" customHeight="1" ht="12" hidden="1">
      <c r="L20" s="1990"/>
      <c r="M20" s="1874"/>
      <c r="N20" s="1874"/>
      <c r="O20" s="1876" t="s">
        <v>555</v>
      </c>
      <c r="P20" s="1874"/>
      <c r="Q20" s="1954"/>
      <c r="R20" s="1954"/>
      <c r="S20" s="1241"/>
      <c r="T20" s="1672" t="s">
        <v>556</v>
      </c>
      <c r="Z20" s="698" t="s">
        <v>557</v>
      </c>
      <c r="AB20" s="698" t="s">
        <v>558</v>
      </c>
      <c r="AC20" s="1672" t="s">
        <v>556</v>
      </c>
      <c r="AG20" s="698" t="s">
        <v>559</v>
      </c>
      <c r="AI20" s="698" t="s">
        <v>558</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838"/>
      <c r="AC28" s="2776" t="str">
        <f>IF(TITLE_DATE_PR_CHANGE="",IF(TITLE_DATE_PR="","",TITLE_DATE_PR),TITLE_DATE_PR_CHANGE)</f>
        <v>45631.710694444446</v>
      </c>
      <c r="AD28" s="2776"/>
      <c r="AE28" s="2776"/>
      <c r="AF28" s="2776"/>
      <c r="AG28" s="2776"/>
      <c r="AH28" s="2776"/>
      <c r="AI28" s="838"/>
      <c r="AJ28" s="838"/>
      <c r="AK28" s="792"/>
      <c r="AL28" s="880"/>
      <c r="AM28" s="880"/>
      <c r="AN28" s="880"/>
      <c r="AO28" s="880"/>
      <c r="AP28" s="880"/>
      <c r="AQ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838"/>
      <c r="AC32" s="2776" t="str">
        <f>IF(TITLE_DATE_PR_CHANGE="",IF(TITLE_DATE_PR="","",TITLE_DATE_PR),TITLE_DATE_PR_CHANGE)</f>
        <v>45631.710694444446</v>
      </c>
      <c r="AD32" s="2776"/>
      <c r="AE32" s="2776"/>
      <c r="AF32" s="2776"/>
      <c r="AG32" s="2776"/>
      <c r="AH32" s="2776"/>
      <c r="AI32" s="838"/>
      <c r="AJ32" s="838"/>
      <c r="AK32" s="792"/>
      <c r="AL32" s="880"/>
      <c r="AM32" s="880"/>
      <c r="AN32" s="880"/>
      <c r="AO32" s="880"/>
      <c r="AP32" s="880"/>
      <c r="AQ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564</v>
      </c>
      <c r="AC34" s="838"/>
      <c r="AD34" s="838"/>
      <c r="AE34" s="838"/>
      <c r="AF34" s="838"/>
      <c r="AG34" s="838"/>
      <c r="AH34" s="838"/>
      <c r="AI34" s="790" t="s">
        <v>564</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2639"/>
      <c r="AK36" s="2639" t="s">
        <v>440</v>
      </c>
      <c r="AQ36" s="1667">
        <v>14</v>
      </c>
    </row>
    <row customHeight="1" ht="14.699999999999998">
      <c r="Q37" s="888"/>
      <c r="R37" s="888"/>
      <c r="S37" s="2785" t="s">
        <v>90</v>
      </c>
      <c r="T37" s="2721" t="s">
        <v>565</v>
      </c>
      <c r="U37" s="813"/>
      <c r="V37" s="2786" t="s">
        <v>566</v>
      </c>
      <c r="W37" s="2787"/>
      <c r="X37" s="2787"/>
      <c r="Y37" s="2787"/>
      <c r="Z37" s="2787"/>
      <c r="AA37" s="2788"/>
      <c r="AB37" s="2789" t="s">
        <v>567</v>
      </c>
      <c r="AC37" s="2786" t="s">
        <v>566</v>
      </c>
      <c r="AD37" s="2787"/>
      <c r="AE37" s="2787"/>
      <c r="AF37" s="2787"/>
      <c r="AG37" s="2787"/>
      <c r="AH37" s="2788"/>
      <c r="AI37" s="2789" t="s">
        <v>568</v>
      </c>
      <c r="AJ37" s="2792" t="s">
        <v>569</v>
      </c>
      <c r="AK37" s="2639"/>
      <c r="AQ37" s="1667">
        <v>14</v>
      </c>
    </row>
    <row customHeight="1" ht="35.699999999999996">
      <c r="Q38" s="888"/>
      <c r="R38" s="888"/>
      <c r="S38" s="2785"/>
      <c r="T38" s="2721"/>
      <c r="U38" s="1543"/>
      <c r="V38" s="1995" t="s">
        <v>625</v>
      </c>
      <c r="W38" s="2774" t="s">
        <v>572</v>
      </c>
      <c r="X38" s="2775"/>
      <c r="Y38" s="2774" t="s">
        <v>573</v>
      </c>
      <c r="Z38" s="2781"/>
      <c r="AA38" s="2775"/>
      <c r="AB38" s="2790"/>
      <c r="AC38" s="1995" t="s">
        <v>625</v>
      </c>
      <c r="AD38" s="2774" t="s">
        <v>572</v>
      </c>
      <c r="AE38" s="2775"/>
      <c r="AF38" s="2774" t="s">
        <v>573</v>
      </c>
      <c r="AG38" s="2781"/>
      <c r="AH38" s="2775"/>
      <c r="AI38" s="2790"/>
      <c r="AJ38" s="2793"/>
      <c r="AK38" s="2639"/>
      <c r="AQ38" s="1667">
        <v>34</v>
      </c>
    </row>
    <row customHeight="1" ht="90.3">
      <c r="A39" s="1882"/>
      <c r="B39" s="1882" t="s">
        <v>201</v>
      </c>
      <c r="C39" s="1882" t="s">
        <v>202</v>
      </c>
      <c r="D39" s="1882" t="s">
        <v>203</v>
      </c>
      <c r="E39" s="1876" t="s">
        <v>574</v>
      </c>
      <c r="F39" s="1876" t="s">
        <v>575</v>
      </c>
      <c r="G39" s="1876" t="s">
        <v>576</v>
      </c>
      <c r="H39" s="1876"/>
      <c r="I39" s="1876" t="s">
        <v>626</v>
      </c>
      <c r="J39" s="1876" t="s">
        <v>579</v>
      </c>
      <c r="K39" s="1876" t="s">
        <v>627</v>
      </c>
      <c r="L39" s="1876" t="s">
        <v>555</v>
      </c>
      <c r="Q39" s="888"/>
      <c r="R39" s="888"/>
      <c r="S39" s="2785"/>
      <c r="T39" s="2721"/>
      <c r="U39" s="814"/>
      <c r="V39" s="1995" t="s">
        <v>656</v>
      </c>
      <c r="W39" s="1734" t="s">
        <v>657</v>
      </c>
      <c r="X39" s="1734" t="s">
        <v>630</v>
      </c>
      <c r="Y39" s="2001" t="s">
        <v>583</v>
      </c>
      <c r="Z39" s="2782" t="s">
        <v>584</v>
      </c>
      <c r="AA39" s="2783"/>
      <c r="AB39" s="2791"/>
      <c r="AC39" s="1995" t="s">
        <v>656</v>
      </c>
      <c r="AD39" s="1734" t="s">
        <v>657</v>
      </c>
      <c r="AE39" s="1734" t="s">
        <v>630</v>
      </c>
      <c r="AF39" s="2001" t="s">
        <v>583</v>
      </c>
      <c r="AG39" s="2782" t="s">
        <v>584</v>
      </c>
      <c r="AH39" s="2783"/>
      <c r="AI39" s="2791"/>
      <c r="AJ39" s="2794"/>
      <c r="AK39" s="2639"/>
      <c r="AQ39" s="1667">
        <v>86</v>
      </c>
    </row>
    <row s="51564"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410</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189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410</v>
      </c>
      <c r="B42" s="1875" t="s">
        <v>411</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536</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537</v>
      </c>
      <c r="AM42" s="1012"/>
      <c r="AN42" s="1012" t="str">
        <f>IF(T42="","",T42)</f>
        <v>Территория действия тарифа</v>
      </c>
      <c r="AO42" s="1012"/>
      <c r="AP42" s="1012"/>
      <c r="AQ42" s="1667">
        <v>23</v>
      </c>
    </row>
    <row customHeight="1" ht="24">
      <c r="A43" s="1875" t="s">
        <v>410</v>
      </c>
      <c r="B43" s="1875" t="s">
        <v>411</v>
      </c>
      <c r="C43" s="1875" t="s">
        <v>412</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654</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655</v>
      </c>
      <c r="AM43" s="1012"/>
      <c r="AN43" s="1012" t="str">
        <f>IF(T43="","",T43)</f>
        <v>Наименование централизованной системы водоотведения</v>
      </c>
      <c r="AO43" s="1012"/>
      <c r="AP43" s="1012"/>
      <c r="AQ43" s="1667">
        <v>23</v>
      </c>
    </row>
    <row customHeight="1" ht="24">
      <c r="A44" s="1875" t="s">
        <v>410</v>
      </c>
      <c r="B44" s="1875" t="s">
        <v>411</v>
      </c>
      <c r="C44" s="1875" t="s">
        <v>412</v>
      </c>
      <c r="D44" s="1875" t="s">
        <v>659</v>
      </c>
      <c r="E44" s="2771"/>
      <c r="F44" s="2771"/>
      <c r="G44" s="2771"/>
      <c r="H44" s="2771"/>
      <c r="I44" s="2768" t="str">
        <f>S43&amp;".1"</f>
        <v>...1</v>
      </c>
      <c r="J44" s="1875"/>
      <c r="K44" s="1875"/>
      <c r="L44" s="1876"/>
      <c r="P44" s="2769">
        <v>1</v>
      </c>
      <c r="Q44" s="1993"/>
      <c r="R44" s="868"/>
      <c r="S44" s="2005" t="str">
        <f>$I44</f>
        <v>...1</v>
      </c>
      <c r="T44" s="797" t="s">
        <v>619</v>
      </c>
      <c r="U44" s="812"/>
      <c r="V44" s="2862"/>
      <c r="W44" s="2863"/>
      <c r="X44" s="2863"/>
      <c r="Y44" s="2863"/>
      <c r="Z44" s="2863"/>
      <c r="AA44" s="2863"/>
      <c r="AB44" s="2864"/>
      <c r="AC44" s="2865"/>
      <c r="AD44" s="2866"/>
      <c r="AE44" s="2866"/>
      <c r="AF44" s="2866"/>
      <c r="AG44" s="2866"/>
      <c r="AH44" s="2866"/>
      <c r="AI44" s="2866"/>
      <c r="AJ44" s="2867"/>
      <c r="AK44" s="1770" t="s">
        <v>620</v>
      </c>
      <c r="AM44" s="1012"/>
      <c r="AN44" s="1012" t="str">
        <f>IF(T44="","",T44)</f>
        <v>Наименование признака дифференциации</v>
      </c>
      <c r="AO44" s="1012"/>
      <c r="AP44" s="1012"/>
      <c r="AQ44" s="1667">
        <v>23</v>
      </c>
    </row>
    <row customHeight="1" ht="24">
      <c r="A45" s="1875" t="s">
        <v>410</v>
      </c>
      <c r="B45" s="1875" t="s">
        <v>411</v>
      </c>
      <c r="C45" s="1875" t="s">
        <v>412</v>
      </c>
      <c r="D45" s="1875" t="s">
        <v>659</v>
      </c>
      <c r="E45" s="2771"/>
      <c r="F45" s="2771"/>
      <c r="G45" s="2771"/>
      <c r="H45" s="2771"/>
      <c r="I45" s="2798"/>
      <c r="J45" s="2768" t="str">
        <f>I44&amp;".1"</f>
        <v>...1.1</v>
      </c>
      <c r="K45" s="1875"/>
      <c r="L45" s="1876" t="s">
        <v>545</v>
      </c>
      <c r="P45" s="2769"/>
      <c r="Q45" s="2769">
        <v>1</v>
      </c>
      <c r="R45" s="869"/>
      <c r="S45" s="2005" t="str">
        <f>$J45</f>
        <v>...1.1</v>
      </c>
      <c r="T45" s="798" t="s">
        <v>546</v>
      </c>
      <c r="U45" s="812"/>
      <c r="V45" s="2757"/>
      <c r="W45" s="2758"/>
      <c r="X45" s="2758"/>
      <c r="Y45" s="2758"/>
      <c r="Z45" s="2758"/>
      <c r="AA45" s="2758"/>
      <c r="AB45" s="2759"/>
      <c r="AC45" s="2757"/>
      <c r="AD45" s="2758"/>
      <c r="AE45" s="2758"/>
      <c r="AF45" s="2758"/>
      <c r="AG45" s="2758"/>
      <c r="AH45" s="2758"/>
      <c r="AI45" s="2758"/>
      <c r="AJ45" s="2759"/>
      <c r="AK45" s="1819" t="s">
        <v>621</v>
      </c>
      <c r="AM45" s="1012"/>
      <c r="AN45" s="1012" t="str">
        <f>IF(T45="","",T45)</f>
        <v>Группа потребителей</v>
      </c>
      <c r="AO45" s="1012"/>
      <c r="AP45" s="1012"/>
      <c r="AQ45" s="1667">
        <v>23</v>
      </c>
    </row>
    <row customHeight="1" ht="24">
      <c r="A46" s="1875" t="s">
        <v>410</v>
      </c>
      <c r="B46" s="1875" t="s">
        <v>411</v>
      </c>
      <c r="C46" s="1875" t="s">
        <v>412</v>
      </c>
      <c r="D46" s="1875" t="s">
        <v>659</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63</v>
      </c>
      <c r="AA46" s="2779"/>
      <c r="AB46" s="2780" t="s">
        <v>63</v>
      </c>
      <c r="AC46" s="1263"/>
      <c r="AD46" s="1263"/>
      <c r="AE46" s="1769"/>
      <c r="AF46" s="2777"/>
      <c r="AG46" s="2619" t="s">
        <v>63</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410</v>
      </c>
      <c r="B47" s="1875" t="s">
        <v>411</v>
      </c>
      <c r="C47" s="1875" t="s">
        <v>412</v>
      </c>
      <c r="D47" s="1875" t="s">
        <v>659</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410</v>
      </c>
      <c r="B48" s="1875" t="s">
        <v>411</v>
      </c>
      <c r="C48" s="1875" t="s">
        <v>412</v>
      </c>
      <c r="D48" s="1875" t="s">
        <v>659</v>
      </c>
      <c r="E48" s="2771"/>
      <c r="F48" s="2771"/>
      <c r="G48" s="2771"/>
      <c r="H48" s="2771"/>
      <c r="I48" s="2798"/>
      <c r="J48" s="2768"/>
      <c r="K48" s="1875"/>
      <c r="L48" s="1876"/>
      <c r="P48" s="2769"/>
      <c r="Q48" s="2769"/>
      <c r="R48" s="868"/>
      <c r="S48" s="1790"/>
      <c r="T48" s="799" t="s">
        <v>622</v>
      </c>
      <c r="U48" s="879"/>
      <c r="V48" s="879"/>
      <c r="W48" s="879"/>
      <c r="X48" s="879"/>
      <c r="Y48" s="879"/>
      <c r="Z48" s="879"/>
      <c r="AA48" s="879"/>
      <c r="AB48" s="879"/>
      <c r="AC48" s="879"/>
      <c r="AD48" s="879"/>
      <c r="AE48" s="879"/>
      <c r="AF48" s="879"/>
      <c r="AG48" s="879"/>
      <c r="AH48" s="879"/>
      <c r="AI48" s="879"/>
      <c r="AJ48" s="879"/>
      <c r="AK48" s="1770" t="s">
        <v>623</v>
      </c>
      <c r="AM48" s="1012"/>
      <c r="AN48" s="1012" t="str">
        <f>IF(T48="","",T48)</f>
        <v>Добавить значение признака дифференциации</v>
      </c>
      <c r="AO48" s="1012"/>
      <c r="AP48" s="1012"/>
      <c r="AQ48" s="1667">
        <v>20</v>
      </c>
    </row>
    <row customHeight="1" ht="22.049999999999997">
      <c r="A49" s="1875" t="s">
        <v>410</v>
      </c>
      <c r="B49" s="1875" t="s">
        <v>411</v>
      </c>
      <c r="C49" s="1875" t="s">
        <v>412</v>
      </c>
      <c r="D49" s="1875" t="s">
        <v>659</v>
      </c>
      <c r="E49" s="2771"/>
      <c r="F49" s="2771"/>
      <c r="G49" s="2771"/>
      <c r="H49" s="2771"/>
      <c r="I49" s="2768"/>
      <c r="J49" s="1875"/>
      <c r="K49" s="1875"/>
      <c r="L49" s="1876"/>
      <c r="P49" s="2769"/>
      <c r="Q49" s="1993"/>
      <c r="R49" s="868"/>
      <c r="S49" s="1790"/>
      <c r="T49" s="877" t="s">
        <v>551</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410</v>
      </c>
      <c r="B50" s="1875" t="s">
        <v>411</v>
      </c>
      <c r="C50" s="1875" t="s">
        <v>412</v>
      </c>
      <c r="D50" s="1875" t="s">
        <v>659</v>
      </c>
      <c r="E50" s="2771"/>
      <c r="F50" s="2771"/>
      <c r="G50" s="2771"/>
      <c r="H50" s="2770"/>
      <c r="I50" s="1875"/>
      <c r="J50" s="1875"/>
      <c r="K50" s="1875"/>
      <c r="L50" s="1876"/>
      <c r="M50" s="1877"/>
      <c r="N50" s="1877"/>
      <c r="O50" s="1049"/>
      <c r="P50" s="872"/>
      <c r="Q50" s="887"/>
      <c r="R50" s="867"/>
      <c r="S50" s="1790"/>
      <c r="T50" s="884" t="s">
        <v>624</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50882" customFormat="1" customHeight="1" ht="0">
      <c r="A51" s="1855" t="s">
        <v>410</v>
      </c>
      <c r="B51" s="1855" t="s">
        <v>411</v>
      </c>
      <c r="C51" s="1826"/>
      <c r="D51" s="1826"/>
      <c r="E51" s="2771"/>
      <c r="F51" s="2770"/>
      <c r="G51" s="1826"/>
      <c r="H51" s="1826"/>
      <c r="I51" s="1826"/>
      <c r="J51" s="1826"/>
      <c r="K51" s="1826"/>
      <c r="L51" s="2006"/>
      <c r="M51" s="1833"/>
      <c r="N51" s="1833"/>
      <c r="P51" s="1828"/>
      <c r="Q51" s="1829"/>
      <c r="R51" s="1828"/>
      <c r="S51" s="1834"/>
      <c r="T51" s="1837" t="s">
        <v>290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50882" customFormat="1" customHeight="1" ht="0">
      <c r="A52" s="1855" t="s">
        <v>410</v>
      </c>
      <c r="B52" s="1855"/>
      <c r="C52" s="1855"/>
      <c r="D52" s="1855"/>
      <c r="E52" s="2770"/>
      <c r="F52" s="1855"/>
      <c r="G52" s="1855"/>
      <c r="H52" s="1855"/>
      <c r="I52" s="1855"/>
      <c r="J52" s="1855"/>
      <c r="K52" s="1855"/>
      <c r="L52" s="1858"/>
      <c r="M52" s="1833"/>
      <c r="N52" s="1833"/>
      <c r="O52" s="1030"/>
      <c r="P52" s="892"/>
      <c r="Q52" s="1856"/>
      <c r="R52" s="892"/>
      <c r="S52" s="1834"/>
      <c r="T52" s="1837" t="s">
        <v>365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50882"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366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94AEB5-160D-3447-0488-.3EA5AB2439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50881" width="11.57421875" hidden="1" customWidth="1"/>
    <col min="2" max="2" style="50881" width="11.00390625" hidden="1" customWidth="1"/>
    <col min="3" max="3" style="50881" width="10.57421875" hidden="1"/>
    <col min="4" max="4" style="50881" width="12.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7" width="3.7109375" hidden="1" customWidth="1"/>
    <col min="17" max="17" style="51992" width="3.7109375" hidden="1" customWidth="1"/>
    <col min="18" max="18" style="51809" width="3.00390625" customWidth="1"/>
    <col min="19" max="19" style="51810" width="12.00390625" customWidth="1"/>
    <col min="20" max="20" style="50801" width="31.00390625" customWidth="1"/>
    <col min="21" max="21" style="50801" width="0.140625" customWidth="1"/>
    <col min="22" max="25" style="50801" width="21.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3.7109375" customWidth="1"/>
    <col min="31" max="32" style="50801" width="3.00390625" customWidth="1"/>
    <col min="33" max="33" style="50801" width="24.00390625" customWidth="1"/>
    <col min="34" max="34" style="50801" width="3.7109375" customWidth="1"/>
    <col min="35" max="36" style="50801" width="3.00390625" customWidth="1"/>
    <col min="37" max="37" style="50801" width="24.00390625" customWidth="1"/>
    <col min="38" max="38" style="50801" width="3.7109375" customWidth="1"/>
    <col min="39" max="40" style="50801" width="3.00390625" customWidth="1"/>
    <col min="41" max="41" style="50801" width="18.00390625" customWidth="1"/>
    <col min="42" max="42" style="50801" width="3.7109375" customWidth="1"/>
    <col min="43" max="44" style="50801" width="3.00390625" customWidth="1"/>
    <col min="45" max="45" style="50801" width="18.00390625" customWidth="1"/>
    <col min="46" max="49" style="50801" width="21.00390625" customWidth="1"/>
    <col min="50" max="50" style="50801" width="11.00390625" customWidth="1"/>
    <col min="51" max="51" style="50801" width="3.7109375" customWidth="1"/>
    <col min="52" max="52" style="50801" width="11.00390625" customWidth="1"/>
    <col min="53" max="53" style="50801" width="8.57421875" hidden="1" customWidth="1"/>
    <col min="54" max="54" style="50801" width="4.00390625" customWidth="1"/>
    <col min="55" max="55" style="50801" width="115.00390625" customWidth="1"/>
    <col min="56" max="60" style="50882" width="10.00390625" customWidth="1"/>
    <col min="61" max="61" style="50801"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189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536</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537</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654</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655</v>
      </c>
      <c r="BE4" s="1012"/>
      <c r="BF4" s="1012" t="str">
        <f>IF(T4="","",T4)</f>
        <v>Наименование централизованной системы водоотведения</v>
      </c>
      <c r="BG4" s="1012"/>
      <c r="BH4" s="1012"/>
      <c r="BI4" s="1667">
        <v>0</v>
      </c>
    </row>
    <row s="50882"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541</v>
      </c>
      <c r="BE5" s="1012"/>
      <c r="BF5" s="1012" t="str">
        <f>IF(T5="","",T5)</f>
        <v/>
      </c>
      <c r="BG5" s="1012"/>
      <c r="BH5" s="1012"/>
      <c r="BI5" s="1023">
        <v>0</v>
      </c>
    </row>
    <row s="50882" customFormat="1" customHeight="1" ht="14.25" hidden="1">
      <c r="A6" s="1855"/>
      <c r="B6" s="1855"/>
      <c r="C6" s="1855"/>
      <c r="D6" s="1855"/>
      <c r="E6" s="2771"/>
      <c r="F6" s="2771"/>
      <c r="G6" s="2771"/>
      <c r="H6" s="2771"/>
      <c r="I6" s="2768" t="str">
        <f>S5&amp;".1"</f>
        <v>.1</v>
      </c>
      <c r="J6" s="1855"/>
      <c r="K6" s="1855"/>
      <c r="L6" s="1858" t="s">
        <v>542</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50882"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63</v>
      </c>
      <c r="AB8" s="2246"/>
      <c r="AC8" s="1981" t="s">
        <v>63</v>
      </c>
      <c r="AD8" s="2697" t="s">
        <v>63</v>
      </c>
      <c r="AE8" s="2838"/>
      <c r="AF8" s="2717">
        <v>1</v>
      </c>
      <c r="AG8" s="2875"/>
      <c r="AH8" s="2619" t="s">
        <v>63</v>
      </c>
      <c r="AI8" s="2838"/>
      <c r="AJ8" s="2717">
        <v>1</v>
      </c>
      <c r="AK8" s="2839" t="s">
        <v>28</v>
      </c>
      <c r="AL8" s="2619" t="s">
        <v>63</v>
      </c>
      <c r="AM8" s="2704"/>
      <c r="AN8" s="2717">
        <v>1</v>
      </c>
      <c r="AO8" s="2869"/>
      <c r="AP8" s="2870" t="s">
        <v>63</v>
      </c>
      <c r="AQ8" s="823"/>
      <c r="AR8" s="1998">
        <v>1</v>
      </c>
      <c r="AS8" s="2004" t="s">
        <v>28</v>
      </c>
      <c r="AT8" s="1263"/>
      <c r="AU8" s="1769"/>
      <c r="AV8" s="1263"/>
      <c r="AW8" s="1769"/>
      <c r="AX8" s="2246"/>
      <c r="AY8" s="1981" t="s">
        <v>63</v>
      </c>
      <c r="AZ8" s="2246"/>
      <c r="BA8" s="1981" t="s">
        <v>63</v>
      </c>
      <c r="BB8" s="1860"/>
      <c r="BC8" s="2765" t="s">
        <v>639</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640</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660</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661</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643</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604</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50882"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50882"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50882"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50882"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290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50882"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365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63</v>
      </c>
      <c r="AZ20" s="2248"/>
      <c r="BA20" s="1997" t="s">
        <v>63</v>
      </c>
      <c r="BI20" s="1667">
        <v>0</v>
      </c>
    </row>
    <row customHeight="1" ht="14.25" hidden="1">
      <c r="BD21" s="1008"/>
      <c r="BE21" s="1008"/>
      <c r="BF21" s="1008"/>
      <c r="BG21" s="1008"/>
      <c r="BH21" s="1008"/>
      <c r="BI21" s="1667">
        <v>0</v>
      </c>
    </row>
    <row customHeight="1" ht="14.25" hidden="1">
      <c r="O22" s="1879" t="s">
        <v>554</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51963" customFormat="1" customHeight="1" ht="14.25" hidden="1">
      <c r="M24" s="2020"/>
      <c r="N24" s="2020"/>
      <c r="O24" s="2021" t="s">
        <v>555</v>
      </c>
      <c r="P24" s="2020"/>
      <c r="Q24" s="2022"/>
      <c r="R24" s="2022"/>
      <c r="AA24" s="2019" t="s">
        <v>557</v>
      </c>
      <c r="AC24" s="2019" t="s">
        <v>558</v>
      </c>
      <c r="AD24" s="2019" t="s">
        <v>605</v>
      </c>
      <c r="AH24" s="2019" t="s">
        <v>605</v>
      </c>
      <c r="AK24" s="2019" t="s">
        <v>644</v>
      </c>
      <c r="AL24" s="2019" t="s">
        <v>605</v>
      </c>
      <c r="AP24" s="2019" t="s">
        <v>605</v>
      </c>
      <c r="AY24" s="2019" t="s">
        <v>557</v>
      </c>
      <c r="BA24" s="2019" t="s">
        <v>558</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51018"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51018" customFormat="1" customHeight="1" ht="18.75">
      <c r="A32" s="1880"/>
      <c r="B32" s="1880"/>
      <c r="C32" s="1880"/>
      <c r="D32" s="1880"/>
      <c r="E32" s="1880"/>
      <c r="F32" s="1880"/>
      <c r="G32" s="1880"/>
      <c r="H32" s="1880"/>
      <c r="I32" s="1880"/>
      <c r="J32" s="1880"/>
      <c r="K32" s="1880"/>
      <c r="L32" s="1881"/>
      <c r="M32" s="1880"/>
      <c r="N32" s="1880"/>
      <c r="O32" s="1880"/>
      <c r="P32" s="1880"/>
      <c r="Q32" s="1880"/>
      <c r="S32" s="2762" t="s">
        <v>560</v>
      </c>
      <c r="T32" s="2762"/>
      <c r="U32" s="1884"/>
      <c r="V32" s="2776" t="str">
        <f>IF(TITLE_DATE_PR_CHANGE="",IF(TITLE_DATE_PR="","",TITLE_DATE_PR),TITLE_DATE_PR_CHANGE)</f>
        <v>45631.710694444446</v>
      </c>
      <c r="W32" s="2776"/>
      <c r="X32" s="2776"/>
      <c r="Y32" s="2776"/>
      <c r="Z32" s="2776"/>
      <c r="AA32" s="2776"/>
      <c r="AB32" s="2776"/>
      <c r="AC32" s="838"/>
      <c r="AD32" s="2776" t="str">
        <f>IF(TITLE_DATE_PR_CHANGE="",IF(TITLE_DATE_PR="","",TITLE_DATE_PR),TITLE_DATE_PR_CHANGE)</f>
        <v>45631.710694444446</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51018" customFormat="1" customHeight="1" ht="18.75">
      <c r="A33" s="1880"/>
      <c r="B33" s="1880"/>
      <c r="C33" s="1880"/>
      <c r="D33" s="1880"/>
      <c r="E33" s="1880"/>
      <c r="F33" s="1880"/>
      <c r="G33" s="1880"/>
      <c r="H33" s="1880"/>
      <c r="I33" s="1880"/>
      <c r="J33" s="1880"/>
      <c r="K33" s="1880"/>
      <c r="L33" s="1881"/>
      <c r="M33" s="1880"/>
      <c r="N33" s="1880"/>
      <c r="O33" s="1880"/>
      <c r="P33" s="1880"/>
      <c r="Q33" s="1880"/>
      <c r="S33" s="2762" t="s">
        <v>561</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51018"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51018"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560</v>
      </c>
      <c r="T36" s="2762"/>
      <c r="U36" s="1884"/>
      <c r="V36" s="2776" t="str">
        <f>IF(TITLE_DATE_PR_CHANGE="",IF(TITLE_DATE_PR="","",TITLE_DATE_PR),TITLE_DATE_PR_CHANGE)</f>
        <v>45631.710694444446</v>
      </c>
      <c r="W36" s="2776"/>
      <c r="X36" s="2776"/>
      <c r="Y36" s="2776"/>
      <c r="Z36" s="2776"/>
      <c r="AA36" s="2776"/>
      <c r="AB36" s="2776"/>
      <c r="AC36" s="838"/>
      <c r="AD36" s="2776" t="str">
        <f>IF(TITLE_DATE_PR_CHANGE="",IF(TITLE_DATE_PR="","",TITLE_DATE_PR),TITLE_DATE_PR_CHANGE)</f>
        <v>45631.710694444446</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51018"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561</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51018"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564</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564</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439</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440</v>
      </c>
      <c r="BI40" s="1667">
        <v>14</v>
      </c>
    </row>
    <row customHeight="1" ht="14.699999999999998">
      <c r="Q41" s="803"/>
      <c r="R41" s="888"/>
      <c r="S41" s="2785" t="s">
        <v>90</v>
      </c>
      <c r="T41" s="2721" t="s">
        <v>645</v>
      </c>
      <c r="U41" s="813"/>
      <c r="V41" s="2786" t="s">
        <v>566</v>
      </c>
      <c r="W41" s="2787"/>
      <c r="X41" s="2787"/>
      <c r="Y41" s="2787"/>
      <c r="Z41" s="2787"/>
      <c r="AA41" s="2787"/>
      <c r="AB41" s="2788"/>
      <c r="AC41" s="2789" t="s">
        <v>567</v>
      </c>
      <c r="AD41" s="2840" t="s">
        <v>662</v>
      </c>
      <c r="AE41" s="2803"/>
      <c r="AF41" s="2803"/>
      <c r="AG41" s="2841"/>
      <c r="AH41" s="2840" t="s">
        <v>663</v>
      </c>
      <c r="AI41" s="2803"/>
      <c r="AJ41" s="2803"/>
      <c r="AK41" s="2841"/>
      <c r="AL41" s="2840" t="s">
        <v>664</v>
      </c>
      <c r="AM41" s="2803"/>
      <c r="AN41" s="2803"/>
      <c r="AO41" s="2841"/>
      <c r="AP41" s="2840" t="s">
        <v>649</v>
      </c>
      <c r="AQ41" s="2803"/>
      <c r="AR41" s="2803"/>
      <c r="AS41" s="2841"/>
      <c r="AT41" s="2786" t="s">
        <v>566</v>
      </c>
      <c r="AU41" s="2787"/>
      <c r="AV41" s="2787"/>
      <c r="AW41" s="2787"/>
      <c r="AX41" s="2787"/>
      <c r="AY41" s="2787"/>
      <c r="AZ41" s="2788"/>
      <c r="BA41" s="2789" t="s">
        <v>567</v>
      </c>
      <c r="BB41" s="2792" t="s">
        <v>569</v>
      </c>
      <c r="BC41" s="2639"/>
      <c r="BI41" s="1667">
        <v>14</v>
      </c>
    </row>
    <row customHeight="1" ht="35.699999999999996">
      <c r="Q42" s="803"/>
      <c r="R42" s="888"/>
      <c r="S42" s="2785"/>
      <c r="T42" s="2721"/>
      <c r="U42" s="1543"/>
      <c r="V42" s="2704" t="s">
        <v>650</v>
      </c>
      <c r="W42" s="2705"/>
      <c r="X42" s="2704" t="s">
        <v>651</v>
      </c>
      <c r="Y42" s="2705"/>
      <c r="Z42" s="2806" t="s">
        <v>652</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665</v>
      </c>
      <c r="AU42" s="2705"/>
      <c r="AV42" s="2704" t="s">
        <v>666</v>
      </c>
      <c r="AW42" s="2705"/>
      <c r="AX42" s="2806" t="s">
        <v>652</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201</v>
      </c>
      <c r="C44" s="1882" t="s">
        <v>202</v>
      </c>
      <c r="D44" s="1882" t="s">
        <v>203</v>
      </c>
      <c r="E44" s="1876" t="s">
        <v>574</v>
      </c>
      <c r="F44" s="1876" t="s">
        <v>575</v>
      </c>
      <c r="G44" s="1876" t="s">
        <v>576</v>
      </c>
      <c r="H44" s="1876" t="s">
        <v>577</v>
      </c>
      <c r="I44" s="1876" t="s">
        <v>578</v>
      </c>
      <c r="J44" s="1876" t="s">
        <v>579</v>
      </c>
      <c r="K44" s="1876" t="s">
        <v>580</v>
      </c>
      <c r="L44" s="1876" t="s">
        <v>555</v>
      </c>
      <c r="Q44" s="803"/>
      <c r="R44" s="888"/>
      <c r="S44" s="2785"/>
      <c r="T44" s="2721"/>
      <c r="U44" s="814"/>
      <c r="V44" s="1991" t="s">
        <v>614</v>
      </c>
      <c r="W44" s="1991" t="s">
        <v>615</v>
      </c>
      <c r="X44" s="1991" t="s">
        <v>614</v>
      </c>
      <c r="Y44" s="1991" t="s">
        <v>615</v>
      </c>
      <c r="Z44" s="2001" t="s">
        <v>583</v>
      </c>
      <c r="AA44" s="2782" t="s">
        <v>584</v>
      </c>
      <c r="AB44" s="2783"/>
      <c r="AC44" s="2791"/>
      <c r="AD44" s="2845"/>
      <c r="AE44" s="2846"/>
      <c r="AF44" s="2846"/>
      <c r="AG44" s="2847"/>
      <c r="AH44" s="2845"/>
      <c r="AI44" s="2846"/>
      <c r="AJ44" s="2846"/>
      <c r="AK44" s="2847"/>
      <c r="AL44" s="2845"/>
      <c r="AM44" s="2846"/>
      <c r="AN44" s="2846"/>
      <c r="AO44" s="2847"/>
      <c r="AP44" s="2845"/>
      <c r="AQ44" s="2846"/>
      <c r="AR44" s="2846"/>
      <c r="AS44" s="2847"/>
      <c r="AT44" s="1991" t="s">
        <v>614</v>
      </c>
      <c r="AU44" s="1991" t="s">
        <v>615</v>
      </c>
      <c r="AV44" s="1991" t="s">
        <v>614</v>
      </c>
      <c r="AW44" s="1991" t="s">
        <v>615</v>
      </c>
      <c r="AX44" s="2001" t="s">
        <v>583</v>
      </c>
      <c r="AY44" s="2782" t="s">
        <v>584</v>
      </c>
      <c r="AZ44" s="2783"/>
      <c r="BA44" s="2791"/>
      <c r="BB44" s="2794"/>
      <c r="BC44" s="2639"/>
      <c r="BI44" s="1667">
        <v>14</v>
      </c>
    </row>
    <row s="51564"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415</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189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415</v>
      </c>
      <c r="B47" s="1875" t="s">
        <v>416</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536</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537</v>
      </c>
      <c r="BE47" s="1012"/>
      <c r="BF47" s="1012" t="str">
        <f>IF(T47="","",T47)</f>
        <v>Территория действия тарифа</v>
      </c>
      <c r="BG47" s="1012"/>
      <c r="BH47" s="1012"/>
      <c r="BI47" s="1667">
        <v>21</v>
      </c>
    </row>
    <row customHeight="1" ht="35.699999999999996">
      <c r="A48" s="1875" t="s">
        <v>415</v>
      </c>
      <c r="B48" s="1875" t="s">
        <v>416</v>
      </c>
      <c r="C48" s="1875" t="s">
        <v>417</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654</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655</v>
      </c>
      <c r="BE48" s="1012"/>
      <c r="BF48" s="1012" t="str">
        <f>IF(T48="","",T48)</f>
        <v>Наименование централизованной системы водоотведения</v>
      </c>
      <c r="BG48" s="1012"/>
      <c r="BH48" s="1012"/>
      <c r="BI48" s="1667">
        <v>34</v>
      </c>
    </row>
    <row s="50882" customFormat="1" customHeight="1" ht="0">
      <c r="A49" s="1855" t="s">
        <v>415</v>
      </c>
      <c r="B49" s="1855" t="s">
        <v>416</v>
      </c>
      <c r="C49" s="1855" t="s">
        <v>417</v>
      </c>
      <c r="D49" s="1855" t="s">
        <v>667</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541</v>
      </c>
      <c r="BE49" s="1012"/>
      <c r="BF49" s="1012" t="str">
        <f>IF(T49="","",T49)</f>
        <v/>
      </c>
      <c r="BG49" s="1012"/>
      <c r="BH49" s="1012"/>
      <c r="BI49" s="1023">
        <v>0</v>
      </c>
    </row>
    <row s="50882" customFormat="1" customHeight="1" ht="0">
      <c r="A50" s="1855" t="s">
        <v>415</v>
      </c>
      <c r="B50" s="1855" t="s">
        <v>416</v>
      </c>
      <c r="C50" s="1855" t="s">
        <v>417</v>
      </c>
      <c r="D50" s="1855" t="s">
        <v>667</v>
      </c>
      <c r="E50" s="2771"/>
      <c r="F50" s="2771"/>
      <c r="G50" s="2771"/>
      <c r="H50" s="2771"/>
      <c r="I50" s="2768" t="str">
        <f>S49&amp;".1"</f>
        <v>.1</v>
      </c>
      <c r="J50" s="1855"/>
      <c r="K50" s="1855"/>
      <c r="L50" s="1858" t="s">
        <v>542</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50882" customFormat="1" customHeight="1" ht="0">
      <c r="A51" s="1855" t="s">
        <v>415</v>
      </c>
      <c r="B51" s="1855" t="s">
        <v>416</v>
      </c>
      <c r="C51" s="1855" t="s">
        <v>417</v>
      </c>
      <c r="D51" s="1855" t="s">
        <v>667</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415</v>
      </c>
      <c r="B52" s="1875" t="s">
        <v>416</v>
      </c>
      <c r="C52" s="1875" t="s">
        <v>417</v>
      </c>
      <c r="D52" s="1875" t="s">
        <v>667</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63</v>
      </c>
      <c r="AB52" s="2246"/>
      <c r="AC52" s="198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98">
        <v>1</v>
      </c>
      <c r="AS52" s="2004" t="s">
        <v>28</v>
      </c>
      <c r="AT52" s="1263"/>
      <c r="AU52" s="1769"/>
      <c r="AV52" s="1263"/>
      <c r="AW52" s="1769"/>
      <c r="AX52" s="2246"/>
      <c r="AY52" s="1981" t="s">
        <v>63</v>
      </c>
      <c r="AZ52" s="2246"/>
      <c r="BA52" s="1981" t="s">
        <v>63</v>
      </c>
      <c r="BB52" s="1860"/>
      <c r="BC52" s="2765" t="s">
        <v>639</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640</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415</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660</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415</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661</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415</v>
      </c>
      <c r="B56" s="1875" t="s">
        <v>416</v>
      </c>
      <c r="C56" s="1875" t="s">
        <v>417</v>
      </c>
      <c r="D56" s="1875" t="s">
        <v>667</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643</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415</v>
      </c>
      <c r="B57" s="1875" t="s">
        <v>416</v>
      </c>
      <c r="C57" s="1875" t="s">
        <v>417</v>
      </c>
      <c r="D57" s="1875" t="s">
        <v>667</v>
      </c>
      <c r="E57" s="2771"/>
      <c r="F57" s="2771"/>
      <c r="G57" s="2771"/>
      <c r="H57" s="2771"/>
      <c r="I57" s="2798"/>
      <c r="J57" s="2768"/>
      <c r="K57" s="1875"/>
      <c r="L57" s="1876"/>
      <c r="P57" s="2769"/>
      <c r="Q57" s="2769"/>
      <c r="R57" s="868"/>
      <c r="S57" s="1790"/>
      <c r="T57" s="799" t="s">
        <v>604</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50882" customFormat="1" customHeight="1" ht="0">
      <c r="A58" s="1855" t="s">
        <v>415</v>
      </c>
      <c r="B58" s="1855" t="s">
        <v>416</v>
      </c>
      <c r="C58" s="1855" t="s">
        <v>417</v>
      </c>
      <c r="D58" s="1855" t="s">
        <v>667</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50882" customFormat="1" customHeight="1" ht="0">
      <c r="A59" s="1855" t="s">
        <v>415</v>
      </c>
      <c r="B59" s="1855" t="s">
        <v>416</v>
      </c>
      <c r="C59" s="1855" t="s">
        <v>417</v>
      </c>
      <c r="D59" s="1855" t="s">
        <v>667</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50882" customFormat="1" customHeight="1" ht="0">
      <c r="A60" s="1855" t="s">
        <v>415</v>
      </c>
      <c r="B60" s="1855" t="s">
        <v>416</v>
      </c>
      <c r="C60" s="1855" t="s">
        <v>417</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50882" customFormat="1" customHeight="1" ht="0">
      <c r="A61" s="1855" t="s">
        <v>415</v>
      </c>
      <c r="B61" s="1855" t="s">
        <v>416</v>
      </c>
      <c r="C61" s="1826"/>
      <c r="D61" s="1826"/>
      <c r="E61" s="2771"/>
      <c r="F61" s="2770"/>
      <c r="G61" s="1826"/>
      <c r="H61" s="1826"/>
      <c r="I61" s="1826"/>
      <c r="J61" s="1826"/>
      <c r="K61" s="1826"/>
      <c r="L61" s="2006"/>
      <c r="M61" s="1833"/>
      <c r="N61" s="1833"/>
      <c r="P61" s="1828"/>
      <c r="Q61" s="1829"/>
      <c r="R61" s="1828"/>
      <c r="S61" s="1834"/>
      <c r="T61" s="1837" t="s">
        <v>290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50882" customFormat="1" customHeight="1" ht="0">
      <c r="A62" s="1855" t="s">
        <v>415</v>
      </c>
      <c r="B62" s="1855"/>
      <c r="C62" s="1855"/>
      <c r="D62" s="1855"/>
      <c r="E62" s="2770"/>
      <c r="F62" s="1855"/>
      <c r="G62" s="1855"/>
      <c r="H62" s="1855"/>
      <c r="I62" s="1855"/>
      <c r="J62" s="1855"/>
      <c r="K62" s="1855"/>
      <c r="L62" s="1858"/>
      <c r="M62" s="1833"/>
      <c r="N62" s="1833"/>
      <c r="O62" s="1030"/>
      <c r="P62" s="892"/>
      <c r="Q62" s="1856"/>
      <c r="R62" s="892"/>
      <c r="S62" s="1834"/>
      <c r="T62" s="1837" t="s">
        <v>365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50882"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366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4.699999999999998">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14</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4.699999999999998">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14</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09D129-D6E1-FFFC-F8C9-E1899A783AB7}" mc:Ignorable="x14ac xr xr2 xr3">
  <sheetPr>
    <tabColor rgb="FFCCCCFF"/>
    <pageSetUpPr fitToPage="1"/>
  </sheetPr>
  <dimension ref="A1:AC71"/>
  <sheetViews>
    <sheetView topLeftCell="A1" showGridLines="0" zoomScale="90" workbookViewId="0">
      <selection activeCell="G57" sqref="G57"/>
    </sheetView>
  </sheetViews>
  <sheetFormatPr defaultColWidth="9.140625" customHeight="1" defaultRowHeight="14.25"/>
  <cols>
    <col min="1" max="1" style="50801" width="8.00390625" hidden="1" customWidth="1"/>
    <col min="2" max="2" style="50881" width="6.00390625" hidden="1" customWidth="1"/>
    <col min="3" max="3" style="50801" width="3.00390625" customWidth="1"/>
    <col min="4" max="4" style="50980" width="3.00390625" customWidth="1"/>
    <col min="5" max="5" style="50801" width="6.00390625" customWidth="1"/>
    <col min="6" max="6" style="50801" width="2.7109375" hidden="1" customWidth="1"/>
    <col min="7" max="7" style="50801" width="46.7109375" customWidth="1"/>
    <col min="8" max="8" style="50801" width="42.00390625" customWidth="1"/>
    <col min="9" max="9" style="50801" width="14.00390625" customWidth="1"/>
    <col min="10" max="10" style="50981" width="3.00390625" customWidth="1"/>
    <col min="11" max="13" style="50981" width="9.140625" hidden="1"/>
    <col min="14" max="14" style="50981" width="25.7109375" hidden="1" customWidth="1"/>
    <col min="15" max="15" style="50981" width="14.421875" hidden="1" customWidth="1"/>
    <col min="16" max="19" style="50982" width="9.140625" hidden="1"/>
    <col min="20" max="27" style="50801" width="9.140625" hidden="1"/>
    <col min="28" max="28" style="50801" width="8.00390625" customWidth="1"/>
    <col min="29" max="29" style="50801" width="9.140625" hidden="1"/>
  </cols>
  <sheetData>
    <row s="50882" customFormat="1" customHeight="1" ht="5.25" hidden="1">
      <c r="A1" s="1008"/>
      <c r="B1" s="1023"/>
      <c r="C1" s="1023"/>
      <c r="D1" s="733"/>
      <c r="F1" s="1023"/>
      <c r="G1" s="759" t="s">
        <v>85</v>
      </c>
      <c r="H1" s="1006" t="s">
        <v>86</v>
      </c>
      <c r="I1" s="739" t="s">
        <v>87</v>
      </c>
      <c r="J1" s="759" t="s">
        <v>85</v>
      </c>
      <c r="K1" s="759"/>
      <c r="L1" s="759"/>
      <c r="M1" s="759"/>
      <c r="N1" s="760"/>
      <c r="O1" s="759"/>
      <c r="P1" s="759"/>
      <c r="Q1" s="759"/>
      <c r="R1" s="759"/>
      <c r="S1" s="759"/>
      <c r="T1" s="739"/>
      <c r="U1" s="739"/>
      <c r="V1" s="739"/>
      <c r="W1" s="739"/>
      <c r="X1" s="739"/>
      <c r="Y1" s="739"/>
      <c r="Z1" s="739"/>
      <c r="AA1" s="739"/>
      <c r="AB1" s="739"/>
      <c r="AC1" s="664" t="s">
        <v>14</v>
      </c>
    </row>
    <row s="50891" customFormat="1" customHeight="1" ht="11.25">
      <c r="A2" s="1343"/>
      <c r="B2" s="740"/>
      <c r="C2" s="740"/>
      <c r="D2" s="741"/>
      <c r="E2" s="740"/>
      <c r="F2" s="740"/>
      <c r="G2" s="740"/>
      <c r="H2" s="740"/>
      <c r="I2" s="740"/>
      <c r="J2" s="759"/>
      <c r="K2" s="759"/>
      <c r="L2" s="759"/>
      <c r="M2" s="759"/>
      <c r="N2" s="760"/>
      <c r="O2" s="759"/>
      <c r="P2" s="742"/>
      <c r="Q2" s="742"/>
      <c r="R2" s="742"/>
      <c r="S2" s="742"/>
      <c r="T2" s="741"/>
      <c r="U2" s="741"/>
      <c r="V2" s="741"/>
      <c r="W2" s="741"/>
      <c r="X2" s="741"/>
      <c r="Y2" s="741"/>
      <c r="Z2" s="741"/>
      <c r="AA2" s="741"/>
      <c r="AB2" s="741"/>
      <c r="AC2" s="743">
        <v>11</v>
      </c>
    </row>
    <row s="50897" customFormat="1" customHeight="1" ht="3">
      <c r="A3" s="1270"/>
      <c r="B3" s="929"/>
      <c r="C3" s="1270"/>
      <c r="D3" s="676"/>
      <c r="E3" s="615"/>
      <c r="F3" s="1021"/>
      <c r="G3" s="615"/>
      <c r="H3" s="615"/>
      <c r="I3" s="678"/>
      <c r="J3" s="759"/>
      <c r="K3" s="667"/>
      <c r="L3" s="667"/>
      <c r="M3" s="667"/>
      <c r="N3" s="738"/>
      <c r="O3" s="667"/>
      <c r="P3" s="737"/>
      <c r="Q3" s="737"/>
      <c r="R3" s="737"/>
      <c r="S3" s="737"/>
      <c r="AC3" s="628">
        <v>3</v>
      </c>
    </row>
    <row s="50897" customFormat="1" customHeight="1" ht="27.299999999999997">
      <c r="A4" s="1270"/>
      <c r="B4" s="929"/>
      <c r="C4" s="1270"/>
      <c r="D4" s="676"/>
      <c r="E4" s="2612" t="str">
        <f>NameTemplatesInListMO</f>
        <v>Перечень муниципальных районов и муниципальных образований (территорий действия тарифа)</v>
      </c>
      <c r="F4" s="2612"/>
      <c r="G4" s="2612"/>
      <c r="H4" s="2612"/>
      <c r="I4" s="2612"/>
      <c r="J4" s="759"/>
      <c r="K4" s="667"/>
      <c r="L4" s="667"/>
      <c r="M4" s="667"/>
      <c r="N4" s="738"/>
      <c r="O4" s="667"/>
      <c r="P4" s="737"/>
      <c r="Q4" s="737"/>
      <c r="R4" s="737"/>
      <c r="S4" s="737"/>
      <c r="AC4" s="628">
        <v>26</v>
      </c>
    </row>
    <row s="50897" customFormat="1" customHeight="1" ht="3">
      <c r="A5" s="1270"/>
      <c r="B5" s="929"/>
      <c r="C5" s="1270"/>
      <c r="D5" s="676"/>
      <c r="E5" s="615"/>
      <c r="F5" s="1021"/>
      <c r="G5" s="679"/>
      <c r="H5" s="679"/>
      <c r="I5" s="680"/>
      <c r="J5" s="667"/>
      <c r="K5" s="667"/>
      <c r="L5" s="667"/>
      <c r="M5" s="667"/>
      <c r="N5" s="738"/>
      <c r="O5" s="667"/>
      <c r="P5" s="737"/>
      <c r="Q5" s="737"/>
      <c r="R5" s="737"/>
      <c r="S5" s="737"/>
      <c r="AC5" s="628">
        <v>3</v>
      </c>
    </row>
    <row s="50897" customFormat="1" customHeight="1" ht="20.25" hidden="1">
      <c r="A6" s="1349"/>
      <c r="B6" s="1345"/>
      <c r="C6" s="681"/>
      <c r="D6" s="676"/>
      <c r="E6" s="1291"/>
      <c r="F6" s="1291"/>
      <c r="G6" s="679"/>
      <c r="H6" s="682"/>
      <c r="I6" s="682"/>
      <c r="J6" s="667"/>
      <c r="K6" s="667"/>
      <c r="L6" s="667"/>
      <c r="M6" s="667"/>
      <c r="N6" s="738"/>
      <c r="O6" s="667"/>
      <c r="P6" s="737"/>
      <c r="Q6" s="737"/>
      <c r="R6" s="737"/>
      <c r="S6" s="737"/>
      <c r="AC6" s="628">
        <v>0</v>
      </c>
    </row>
    <row customHeight="1" ht="25.5" hidden="1">
      <c r="AC7" s="595">
        <v>0</v>
      </c>
    </row>
    <row s="50897" customFormat="1" customHeight="1" ht="14.699999999999998">
      <c r="A8" s="1270"/>
      <c r="B8" s="929"/>
      <c r="C8" s="1270"/>
      <c r="D8" s="676"/>
      <c r="E8" s="2613" t="s">
        <v>88</v>
      </c>
      <c r="F8" s="2614"/>
      <c r="G8" s="2615"/>
      <c r="H8" s="2616" t="s">
        <v>89</v>
      </c>
      <c r="I8" s="2616"/>
      <c r="J8" s="667"/>
      <c r="K8" s="667"/>
      <c r="L8" s="667"/>
      <c r="M8" s="667"/>
      <c r="N8" s="738"/>
      <c r="O8" s="667"/>
      <c r="P8" s="737"/>
      <c r="Q8" s="737"/>
      <c r="R8" s="737"/>
      <c r="S8" s="737"/>
      <c r="AC8" s="628">
        <v>14</v>
      </c>
    </row>
    <row s="50897" customFormat="1" customHeight="1" ht="21">
      <c r="A9" s="1270"/>
      <c r="B9" s="929"/>
      <c r="C9" s="1270"/>
      <c r="D9" s="676"/>
      <c r="E9" s="1289" t="s">
        <v>90</v>
      </c>
      <c r="F9" s="1289"/>
      <c r="G9" s="684" t="s">
        <v>91</v>
      </c>
      <c r="H9" s="684" t="s">
        <v>91</v>
      </c>
      <c r="I9" s="684" t="s">
        <v>87</v>
      </c>
      <c r="J9" s="667"/>
      <c r="K9" s="667"/>
      <c r="L9" s="667"/>
      <c r="M9" s="667"/>
      <c r="N9" s="738"/>
      <c r="O9" s="667"/>
      <c r="P9" s="737"/>
      <c r="Q9" s="737"/>
      <c r="R9" s="737"/>
      <c r="S9" s="737"/>
      <c r="AC9" s="628">
        <v>20</v>
      </c>
    </row>
    <row customHeight="1" ht="11.549999999999999">
      <c r="D10" s="688"/>
      <c r="E10" s="1290" t="s">
        <v>92</v>
      </c>
      <c r="F10" s="1290"/>
      <c r="G10" s="735" t="s">
        <v>93</v>
      </c>
      <c r="H10" s="735" t="s">
        <v>94</v>
      </c>
      <c r="I10" s="735" t="s">
        <v>95</v>
      </c>
      <c r="J10" s="698"/>
      <c r="K10" s="698"/>
      <c r="L10" s="698"/>
      <c r="M10" s="698"/>
      <c r="N10" s="683"/>
      <c r="O10" s="698"/>
      <c r="P10" s="736"/>
      <c r="Q10" s="736"/>
      <c r="R10" s="736"/>
      <c r="S10" s="736"/>
      <c r="AC10" s="595">
        <v>11</v>
      </c>
    </row>
    <row s="50897" customFormat="1" customHeight="1" ht="1.05">
      <c r="A11" s="1270"/>
      <c r="B11" s="929"/>
      <c r="C11" s="1270"/>
      <c r="D11" s="676"/>
      <c r="E11" s="1302"/>
      <c r="F11" s="1302"/>
      <c r="G11" s="685"/>
      <c r="H11" s="685"/>
      <c r="I11" s="687"/>
      <c r="J11" s="761" t="s">
        <v>96</v>
      </c>
      <c r="K11" s="667"/>
      <c r="L11" s="667"/>
      <c r="M11" s="667" t="s">
        <v>97</v>
      </c>
      <c r="N11" s="738" t="s">
        <v>98</v>
      </c>
      <c r="O11" s="667" t="s">
        <v>99</v>
      </c>
      <c r="P11" s="737"/>
      <c r="Q11" s="737"/>
      <c r="R11" s="737"/>
      <c r="S11" s="737"/>
      <c r="AC11" s="628">
        <v>1</v>
      </c>
    </row>
    <row s="50897" customFormat="1" customHeight="1" ht="15">
      <c r="A12" s="2611">
        <v>1</v>
      </c>
      <c r="B12" s="929"/>
      <c r="C12" s="1270"/>
      <c r="D12" s="1294"/>
      <c r="E12" s="731">
        <f>A12</f>
        <v>1</v>
      </c>
      <c r="F12" s="1314" t="s">
        <v>100</v>
      </c>
      <c r="G12" s="1052" t="str">
        <f>"Территория "&amp;E12</f>
        <v>Территория 1</v>
      </c>
      <c r="H12" s="1304"/>
      <c r="I12" s="1304"/>
      <c r="J12" s="1301"/>
      <c r="K12" s="1012"/>
      <c r="L12" s="1012"/>
      <c r="M12" s="1012"/>
      <c r="N12" s="738"/>
      <c r="O12" s="1012"/>
      <c r="P12" s="737"/>
      <c r="Q12" s="737"/>
      <c r="R12" s="737"/>
      <c r="S12" s="737"/>
      <c r="AC12" s="1019">
        <v>14</v>
      </c>
    </row>
    <row s="50942" customFormat="1" customHeight="1" ht="15.75">
      <c r="A13" s="2611"/>
      <c r="B13" s="929">
        <v>1</v>
      </c>
      <c r="C13" s="929"/>
      <c r="D13" s="1312"/>
      <c r="E13" s="1292" t="str">
        <f>A12&amp;"."&amp;B13</f>
        <v>1.1</v>
      </c>
      <c r="F13" s="1307" t="s">
        <v>101</v>
      </c>
      <c r="G13" s="1305" t="s">
        <v>102</v>
      </c>
      <c r="H13" s="1305" t="s">
        <v>102</v>
      </c>
      <c r="I13" s="1303" t="s">
        <v>103</v>
      </c>
      <c r="J13" s="1012">
        <f>MERGEVALUE(G13)</f>
      </c>
      <c r="K13" s="1023"/>
      <c r="L13" s="1023"/>
      <c r="M13" s="1012" t="str">
        <f t="array" ref="M13:M13">IF(ISERROR(MATCH(MID(N13,1,250),MID(note_ter,1,250),0)),"n","y")</f>
        <v>n</v>
      </c>
      <c r="N13" s="1023"/>
      <c r="O13" s="1012" t="str">
        <f>H13&amp;"("&amp;I13&amp;")"</f>
        <v>Анучинский муниципальный округ(05502000)</v>
      </c>
      <c r="P13" s="929"/>
      <c r="Q13" s="929"/>
      <c r="R13" s="932"/>
      <c r="S13" s="929"/>
      <c r="T13" s="929"/>
      <c r="U13" s="929"/>
      <c r="V13" s="934"/>
      <c r="W13" s="934"/>
      <c r="X13" s="931"/>
      <c r="Y13" s="931"/>
      <c r="Z13" s="931"/>
      <c r="AA13" s="931"/>
      <c r="AB13" s="931"/>
      <c r="AC13" s="935">
        <v>15</v>
      </c>
    </row>
    <row s="50942" customFormat="1" customHeight="1" ht="15.75">
      <c r="A14" s="2611"/>
      <c r="B14" s="929"/>
      <c r="C14" s="924"/>
      <c r="D14" s="1313"/>
      <c r="E14" s="933"/>
      <c r="F14" s="689"/>
      <c r="G14" s="927" t="s">
        <v>104</v>
      </c>
      <c r="H14" s="699"/>
      <c r="I14" s="936"/>
      <c r="J14" s="1023"/>
      <c r="K14" s="1023"/>
      <c r="L14" s="1023"/>
      <c r="M14" s="1023"/>
      <c r="N14" s="1012"/>
      <c r="O14" s="1023"/>
      <c r="P14" s="929"/>
      <c r="Q14" s="929"/>
      <c r="R14" s="932"/>
      <c r="S14" s="929"/>
      <c r="T14" s="929"/>
      <c r="U14" s="929"/>
      <c r="V14" s="934"/>
      <c r="W14" s="934"/>
      <c r="X14" s="931"/>
      <c r="Y14" s="931"/>
      <c r="Z14" s="931"/>
      <c r="AA14" s="931"/>
      <c r="AB14" s="931"/>
      <c r="AC14" s="935">
        <v>15</v>
      </c>
    </row>
    <row customHeight="1" ht="15">
      <c r="A15" s="2729" t="s">
        <v>105</v>
      </c>
      <c r="B15" s="1672"/>
      <c r="C15" s="1313" t="s">
        <v>106</v>
      </c>
      <c r="D15" s="2330"/>
      <c r="E15" s="2317" t="str">
        <f>A15</f>
        <v>2</v>
      </c>
      <c r="F15" s="1316" t="s">
        <v>107</v>
      </c>
      <c r="G15" s="1052" t="str">
        <f>"Территория "&amp;E15</f>
        <v>Территория 2</v>
      </c>
      <c r="H15" s="1304"/>
      <c r="I15" s="1304"/>
      <c r="J15" s="1301"/>
      <c r="K15" s="2136"/>
      <c r="L15" s="2136"/>
      <c r="M15" s="2136"/>
      <c r="N15" s="738"/>
      <c r="O15" s="2136"/>
      <c r="P15" s="737"/>
      <c r="Q15" s="737"/>
      <c r="R15" s="737"/>
      <c r="S15" s="737"/>
      <c r="T15" s="16715"/>
      <c r="U15" s="16715"/>
      <c r="V15" s="16715"/>
      <c r="W15" s="16715"/>
      <c r="X15" s="16715"/>
      <c r="Y15" s="16715"/>
      <c r="Z15" s="16715"/>
      <c r="AA15" s="16715"/>
      <c r="AB15" s="16715"/>
      <c r="AC15" s="16715"/>
    </row>
    <row customHeight="1" ht="15">
      <c r="A16" s="2729"/>
      <c r="B16" s="1672">
        <v>1</v>
      </c>
      <c r="C16" s="1672"/>
      <c r="D16" s="1312"/>
      <c r="E16" s="2325" t="str">
        <f>A15&amp;"."&amp;B16</f>
        <v>2.1</v>
      </c>
      <c r="F16" s="1315" t="s">
        <v>108</v>
      </c>
      <c r="G16" s="1305" t="s">
        <v>109</v>
      </c>
      <c r="H16" s="1305" t="s">
        <v>110</v>
      </c>
      <c r="I16" s="1303" t="s">
        <v>111</v>
      </c>
      <c r="J16" s="2136"/>
      <c r="K16" s="2148"/>
      <c r="L16" s="2148"/>
      <c r="M16" s="2136" t="str">
        <f t="array" ref="M16:M16">IF(ISERROR(MATCH(MID(N16,1,250),MID(note_ter,1,250),0)),"n","y")</f>
        <v>n</v>
      </c>
      <c r="N16" s="2148"/>
      <c r="O16" s="2136" t="str">
        <f>H16&amp;"("&amp;I16&amp;")"</f>
        <v>Глубинненское(05614408)</v>
      </c>
      <c r="P16" s="1672"/>
      <c r="Q16" s="1672"/>
      <c r="R16" s="932"/>
      <c r="S16" s="1672"/>
      <c r="T16" s="1672"/>
      <c r="U16" s="1672"/>
      <c r="V16" s="934"/>
      <c r="W16" s="934"/>
      <c r="X16" s="931"/>
      <c r="Y16" s="931"/>
      <c r="Z16" s="931"/>
      <c r="AA16" s="931"/>
      <c r="AB16" s="931"/>
      <c r="AC16" s="931"/>
    </row>
    <row customHeight="1" ht="15">
      <c r="A17" s="2729"/>
      <c r="B17" s="1672"/>
      <c r="C17" s="924"/>
      <c r="D17" s="1313"/>
      <c r="E17" s="933"/>
      <c r="F17" s="689"/>
      <c r="G17" s="927" t="s">
        <v>104</v>
      </c>
      <c r="H17" s="699"/>
      <c r="I17" s="936"/>
      <c r="J17" s="2148"/>
      <c r="K17" s="2148"/>
      <c r="L17" s="2148"/>
      <c r="M17" s="2148"/>
      <c r="N17" s="2136"/>
      <c r="O17" s="2148"/>
      <c r="P17" s="1672"/>
      <c r="Q17" s="1672"/>
      <c r="R17" s="932"/>
      <c r="S17" s="1672"/>
      <c r="T17" s="1672"/>
      <c r="U17" s="1672"/>
      <c r="V17" s="934"/>
      <c r="W17" s="934"/>
      <c r="X17" s="931"/>
      <c r="Y17" s="931"/>
      <c r="Z17" s="931"/>
      <c r="AA17" s="931"/>
      <c r="AB17" s="931"/>
      <c r="AC17" s="931"/>
    </row>
    <row customHeight="1" ht="15">
      <c r="A18" s="2729" t="s">
        <v>92</v>
      </c>
      <c r="B18" s="1672"/>
      <c r="C18" s="1313" t="s">
        <v>106</v>
      </c>
      <c r="D18" s="2330"/>
      <c r="E18" s="2317" t="str">
        <f>A18</f>
        <v>3</v>
      </c>
      <c r="F18" s="1316" t="s">
        <v>112</v>
      </c>
      <c r="G18" s="1052" t="str">
        <f>"Территория "&amp;E18</f>
        <v>Территория 3</v>
      </c>
      <c r="H18" s="1304"/>
      <c r="I18" s="1304"/>
      <c r="J18" s="1301"/>
      <c r="K18" s="2136"/>
      <c r="L18" s="2136"/>
      <c r="M18" s="2136"/>
      <c r="N18" s="738"/>
      <c r="O18" s="2136"/>
      <c r="P18" s="737"/>
      <c r="Q18" s="737"/>
      <c r="R18" s="737"/>
      <c r="S18" s="737"/>
      <c r="T18" s="16715"/>
      <c r="U18" s="16715"/>
      <c r="V18" s="16715"/>
      <c r="W18" s="16715"/>
      <c r="X18" s="16715"/>
      <c r="Y18" s="16715"/>
      <c r="Z18" s="16715"/>
      <c r="AA18" s="16715"/>
      <c r="AB18" s="16715"/>
      <c r="AC18" s="16715"/>
    </row>
    <row customHeight="1" ht="15">
      <c r="A19" s="2729"/>
      <c r="B19" s="1672">
        <v>1</v>
      </c>
      <c r="C19" s="1672"/>
      <c r="D19" s="1312"/>
      <c r="E19" s="2325" t="str">
        <f>A18&amp;"."&amp;B19</f>
        <v>3.1</v>
      </c>
      <c r="F19" s="1315" t="s">
        <v>113</v>
      </c>
      <c r="G19" s="1305" t="s">
        <v>114</v>
      </c>
      <c r="H19" s="1305" t="s">
        <v>115</v>
      </c>
      <c r="I19" s="1303" t="s">
        <v>116</v>
      </c>
      <c r="J19" s="2136"/>
      <c r="K19" s="2148"/>
      <c r="L19" s="2148"/>
      <c r="M19" s="2136" t="str">
        <f t="array" ref="M19:M19">IF(ISERROR(MATCH(MID(N19,1,250),MID(note_ter,1,250),0)),"n","y")</f>
        <v>n</v>
      </c>
      <c r="N19" s="2148"/>
      <c r="O19" s="2136" t="str">
        <f>H19&amp;"("&amp;I19&amp;")"</f>
        <v>Новошахтинское городское поселение(05620154)</v>
      </c>
      <c r="P19" s="1672"/>
      <c r="Q19" s="1672"/>
      <c r="R19" s="932"/>
      <c r="S19" s="1672"/>
      <c r="T19" s="1672"/>
      <c r="U19" s="1672"/>
      <c r="V19" s="934"/>
      <c r="W19" s="934"/>
      <c r="X19" s="931"/>
      <c r="Y19" s="931"/>
      <c r="Z19" s="931"/>
      <c r="AA19" s="931"/>
      <c r="AB19" s="931"/>
      <c r="AC19" s="931"/>
    </row>
    <row customHeight="1" ht="15">
      <c r="A20" s="2729"/>
      <c r="B20" s="1672"/>
      <c r="C20" s="924"/>
      <c r="D20" s="1313"/>
      <c r="E20" s="933"/>
      <c r="F20" s="689"/>
      <c r="G20" s="927" t="s">
        <v>104</v>
      </c>
      <c r="H20" s="699"/>
      <c r="I20" s="936"/>
      <c r="J20" s="2148"/>
      <c r="K20" s="2148"/>
      <c r="L20" s="2148"/>
      <c r="M20" s="2148"/>
      <c r="N20" s="2136"/>
      <c r="O20" s="2148"/>
      <c r="P20" s="1672"/>
      <c r="Q20" s="1672"/>
      <c r="R20" s="932"/>
      <c r="S20" s="1672"/>
      <c r="T20" s="1672"/>
      <c r="U20" s="1672"/>
      <c r="V20" s="934"/>
      <c r="W20" s="934"/>
      <c r="X20" s="931"/>
      <c r="Y20" s="931"/>
      <c r="Z20" s="931"/>
      <c r="AA20" s="931"/>
      <c r="AB20" s="931"/>
      <c r="AC20" s="931"/>
    </row>
    <row customHeight="1" ht="15">
      <c r="A21" s="2729" t="s">
        <v>93</v>
      </c>
      <c r="B21" s="1672"/>
      <c r="C21" s="1313" t="s">
        <v>106</v>
      </c>
      <c r="D21" s="2330"/>
      <c r="E21" s="2317" t="str">
        <f>A21</f>
        <v>4</v>
      </c>
      <c r="F21" s="1316" t="s">
        <v>117</v>
      </c>
      <c r="G21" s="1052" t="str">
        <f>"Территория "&amp;E21</f>
        <v>Территория 4</v>
      </c>
      <c r="H21" s="1304"/>
      <c r="I21" s="1304"/>
      <c r="J21" s="1301"/>
      <c r="K21" s="2136"/>
      <c r="L21" s="2136"/>
      <c r="M21" s="2136"/>
      <c r="N21" s="738"/>
      <c r="O21" s="2136"/>
      <c r="P21" s="737"/>
      <c r="Q21" s="737"/>
      <c r="R21" s="737"/>
      <c r="S21" s="737"/>
      <c r="T21" s="16715"/>
      <c r="U21" s="16715"/>
      <c r="V21" s="16715"/>
      <c r="W21" s="16715"/>
      <c r="X21" s="16715"/>
      <c r="Y21" s="16715"/>
      <c r="Z21" s="16715"/>
      <c r="AA21" s="16715"/>
      <c r="AB21" s="16715"/>
      <c r="AC21" s="16715"/>
    </row>
    <row customHeight="1" ht="15">
      <c r="A22" s="2729"/>
      <c r="B22" s="1672">
        <v>1</v>
      </c>
      <c r="C22" s="1672"/>
      <c r="D22" s="1312"/>
      <c r="E22" s="2325" t="str">
        <f>A21&amp;"."&amp;B22</f>
        <v>4.1</v>
      </c>
      <c r="F22" s="1315" t="s">
        <v>118</v>
      </c>
      <c r="G22" s="1305" t="s">
        <v>119</v>
      </c>
      <c r="H22" s="1305" t="s">
        <v>119</v>
      </c>
      <c r="I22" s="1303" t="s">
        <v>120</v>
      </c>
      <c r="J22" s="2136"/>
      <c r="K22" s="2148"/>
      <c r="L22" s="2148"/>
      <c r="M22" s="2136" t="str">
        <f t="array" ref="M22:M22">IF(ISERROR(MATCH(MID(N22,1,250),MID(note_ter,1,250),0)),"n","y")</f>
        <v>n</v>
      </c>
      <c r="N22" s="2148"/>
      <c r="O22" s="2136" t="str">
        <f>H22&amp;"("&amp;I22&amp;")"</f>
        <v>Кавалеровский муниципальный округ(05510000)</v>
      </c>
      <c r="P22" s="1672"/>
      <c r="Q22" s="1672"/>
      <c r="R22" s="932"/>
      <c r="S22" s="1672"/>
      <c r="T22" s="1672"/>
      <c r="U22" s="1672"/>
      <c r="V22" s="934"/>
      <c r="W22" s="934"/>
      <c r="X22" s="931"/>
      <c r="Y22" s="931"/>
      <c r="Z22" s="931"/>
      <c r="AA22" s="931"/>
      <c r="AB22" s="931"/>
      <c r="AC22" s="931"/>
    </row>
    <row customHeight="1" ht="15">
      <c r="A23" s="2729"/>
      <c r="B23" s="1672"/>
      <c r="C23" s="924"/>
      <c r="D23" s="1313"/>
      <c r="E23" s="933"/>
      <c r="F23" s="689"/>
      <c r="G23" s="927" t="s">
        <v>104</v>
      </c>
      <c r="H23" s="699"/>
      <c r="I23" s="936"/>
      <c r="J23" s="2148"/>
      <c r="K23" s="2148"/>
      <c r="L23" s="2148"/>
      <c r="M23" s="2148"/>
      <c r="N23" s="2136"/>
      <c r="O23" s="2148"/>
      <c r="P23" s="1672"/>
      <c r="Q23" s="1672"/>
      <c r="R23" s="932"/>
      <c r="S23" s="1672"/>
      <c r="T23" s="1672"/>
      <c r="U23" s="1672"/>
      <c r="V23" s="934"/>
      <c r="W23" s="934"/>
      <c r="X23" s="931"/>
      <c r="Y23" s="931"/>
      <c r="Z23" s="931"/>
      <c r="AA23" s="931"/>
      <c r="AB23" s="931"/>
      <c r="AC23" s="931"/>
    </row>
    <row customHeight="1" ht="15">
      <c r="A24" s="2729" t="s">
        <v>121</v>
      </c>
      <c r="B24" s="1672"/>
      <c r="C24" s="1313" t="s">
        <v>106</v>
      </c>
      <c r="D24" s="2330"/>
      <c r="E24" s="2317" t="str">
        <f>A24</f>
        <v>5</v>
      </c>
      <c r="F24" s="1316" t="s">
        <v>122</v>
      </c>
      <c r="G24" s="1052" t="str">
        <f>"Территория "&amp;E24</f>
        <v>Территория 5</v>
      </c>
      <c r="H24" s="1304"/>
      <c r="I24" s="1304"/>
      <c r="J24" s="1301"/>
      <c r="K24" s="2136"/>
      <c r="L24" s="2136"/>
      <c r="M24" s="2136"/>
      <c r="N24" s="738"/>
      <c r="O24" s="2136"/>
      <c r="P24" s="737"/>
      <c r="Q24" s="737"/>
      <c r="R24" s="737"/>
      <c r="S24" s="737"/>
      <c r="T24" s="16715"/>
      <c r="U24" s="16715"/>
      <c r="V24" s="16715"/>
      <c r="W24" s="16715"/>
      <c r="X24" s="16715"/>
      <c r="Y24" s="16715"/>
      <c r="Z24" s="16715"/>
      <c r="AA24" s="16715"/>
      <c r="AB24" s="16715"/>
      <c r="AC24" s="16715"/>
    </row>
    <row customHeight="1" ht="15">
      <c r="A25" s="2729"/>
      <c r="B25" s="1672">
        <v>1</v>
      </c>
      <c r="C25" s="1672"/>
      <c r="D25" s="1312"/>
      <c r="E25" s="2325" t="str">
        <f>A24&amp;"."&amp;B25</f>
        <v>5.1</v>
      </c>
      <c r="F25" s="1315" t="s">
        <v>123</v>
      </c>
      <c r="G25" s="1305" t="s">
        <v>124</v>
      </c>
      <c r="H25" s="1305" t="s">
        <v>124</v>
      </c>
      <c r="I25" s="1303" t="s">
        <v>125</v>
      </c>
      <c r="J25" s="2136"/>
      <c r="K25" s="2148"/>
      <c r="L25" s="2148"/>
      <c r="M25" s="2136" t="str">
        <f t="array" ref="M25:M25">IF(ISERROR(MATCH(MID(N25,1,250),MID(note_ter,1,250),0)),"n","y")</f>
        <v>n</v>
      </c>
      <c r="N25" s="2148"/>
      <c r="O25" s="2136" t="str">
        <f>H25&amp;"("&amp;I25&amp;")"</f>
        <v>Хасанский муниципальный округ(05548000)</v>
      </c>
      <c r="P25" s="1672"/>
      <c r="Q25" s="1672"/>
      <c r="R25" s="932"/>
      <c r="S25" s="1672"/>
      <c r="T25" s="1672"/>
      <c r="U25" s="1672"/>
      <c r="V25" s="934"/>
      <c r="W25" s="934"/>
      <c r="X25" s="931"/>
      <c r="Y25" s="931"/>
      <c r="Z25" s="931"/>
      <c r="AA25" s="931"/>
      <c r="AB25" s="931"/>
      <c r="AC25" s="931"/>
    </row>
    <row customHeight="1" ht="15">
      <c r="A26" s="2729"/>
      <c r="B26" s="1672"/>
      <c r="C26" s="924"/>
      <c r="D26" s="1313"/>
      <c r="E26" s="933"/>
      <c r="F26" s="689"/>
      <c r="G26" s="927" t="s">
        <v>104</v>
      </c>
      <c r="H26" s="699"/>
      <c r="I26" s="936"/>
      <c r="J26" s="2148"/>
      <c r="K26" s="2148"/>
      <c r="L26" s="2148"/>
      <c r="M26" s="2148"/>
      <c r="N26" s="2136"/>
      <c r="O26" s="2148"/>
      <c r="P26" s="1672"/>
      <c r="Q26" s="1672"/>
      <c r="R26" s="932"/>
      <c r="S26" s="1672"/>
      <c r="T26" s="1672"/>
      <c r="U26" s="1672"/>
      <c r="V26" s="934"/>
      <c r="W26" s="934"/>
      <c r="X26" s="931"/>
      <c r="Y26" s="931"/>
      <c r="Z26" s="931"/>
      <c r="AA26" s="931"/>
      <c r="AB26" s="931"/>
      <c r="AC26" s="931"/>
    </row>
    <row customHeight="1" ht="15">
      <c r="A27" s="2729" t="s">
        <v>94</v>
      </c>
      <c r="B27" s="1672"/>
      <c r="C27" s="1313" t="s">
        <v>106</v>
      </c>
      <c r="D27" s="2330"/>
      <c r="E27" s="2317" t="str">
        <f>A27</f>
        <v>6</v>
      </c>
      <c r="F27" s="1316" t="s">
        <v>126</v>
      </c>
      <c r="G27" s="1052" t="str">
        <f>"Территория "&amp;E27</f>
        <v>Территория 6</v>
      </c>
      <c r="H27" s="1304"/>
      <c r="I27" s="1304"/>
      <c r="J27" s="1301"/>
      <c r="K27" s="2136"/>
      <c r="L27" s="2136"/>
      <c r="M27" s="2136"/>
      <c r="N27" s="738"/>
      <c r="O27" s="2136"/>
      <c r="P27" s="737"/>
      <c r="Q27" s="737"/>
      <c r="R27" s="737"/>
      <c r="S27" s="737"/>
      <c r="T27" s="16715"/>
      <c r="U27" s="16715"/>
      <c r="V27" s="16715"/>
      <c r="W27" s="16715"/>
      <c r="X27" s="16715"/>
      <c r="Y27" s="16715"/>
      <c r="Z27" s="16715"/>
      <c r="AA27" s="16715"/>
      <c r="AB27" s="16715"/>
      <c r="AC27" s="16715"/>
    </row>
    <row customHeight="1" ht="15">
      <c r="A28" s="2729"/>
      <c r="B28" s="1672">
        <v>1</v>
      </c>
      <c r="C28" s="1672"/>
      <c r="D28" s="1312"/>
      <c r="E28" s="2325" t="str">
        <f>A27&amp;"."&amp;B28</f>
        <v>6.1</v>
      </c>
      <c r="F28" s="1315" t="s">
        <v>127</v>
      </c>
      <c r="G28" s="1305" t="s">
        <v>128</v>
      </c>
      <c r="H28" s="1305" t="s">
        <v>129</v>
      </c>
      <c r="I28" s="1303" t="s">
        <v>130</v>
      </c>
      <c r="J28" s="2136"/>
      <c r="K28" s="2148"/>
      <c r="L28" s="2148"/>
      <c r="M28" s="2136" t="str">
        <f t="array" ref="M28:M28">IF(ISERROR(MATCH(MID(N28,1,250),MID(note_ter,1,250),0)),"n","y")</f>
        <v>n</v>
      </c>
      <c r="N28" s="2148"/>
      <c r="O28" s="2136" t="str">
        <f>H28&amp;"("&amp;I28&amp;")"</f>
        <v>Дмитриевское сельское поселение(05653410)</v>
      </c>
      <c r="P28" s="1672"/>
      <c r="Q28" s="1672"/>
      <c r="R28" s="932"/>
      <c r="S28" s="1672"/>
      <c r="T28" s="1672"/>
      <c r="U28" s="1672"/>
      <c r="V28" s="934"/>
      <c r="W28" s="934"/>
      <c r="X28" s="931"/>
      <c r="Y28" s="931"/>
      <c r="Z28" s="931"/>
      <c r="AA28" s="931"/>
      <c r="AB28" s="931"/>
      <c r="AC28" s="931"/>
    </row>
    <row customHeight="1" ht="15">
      <c r="A29" s="2729"/>
      <c r="B29" s="1672"/>
      <c r="C29" s="924"/>
      <c r="D29" s="1313"/>
      <c r="E29" s="933"/>
      <c r="F29" s="689"/>
      <c r="G29" s="927" t="s">
        <v>104</v>
      </c>
      <c r="H29" s="699"/>
      <c r="I29" s="936"/>
      <c r="J29" s="2148"/>
      <c r="K29" s="2148"/>
      <c r="L29" s="2148"/>
      <c r="M29" s="2148"/>
      <c r="N29" s="2136"/>
      <c r="O29" s="2148"/>
      <c r="P29" s="1672"/>
      <c r="Q29" s="1672"/>
      <c r="R29" s="932"/>
      <c r="S29" s="1672"/>
      <c r="T29" s="1672"/>
      <c r="U29" s="1672"/>
      <c r="V29" s="934"/>
      <c r="W29" s="934"/>
      <c r="X29" s="931"/>
      <c r="Y29" s="931"/>
      <c r="Z29" s="931"/>
      <c r="AA29" s="931"/>
      <c r="AB29" s="931"/>
      <c r="AC29" s="931"/>
    </row>
    <row customHeight="1" ht="15">
      <c r="A30" s="2729" t="s">
        <v>95</v>
      </c>
      <c r="B30" s="1672"/>
      <c r="C30" s="1313" t="s">
        <v>106</v>
      </c>
      <c r="D30" s="2330"/>
      <c r="E30" s="2317" t="str">
        <f>A30</f>
        <v>7</v>
      </c>
      <c r="F30" s="1316" t="s">
        <v>131</v>
      </c>
      <c r="G30" s="1052" t="str">
        <f>"Территория "&amp;E30</f>
        <v>Территория 7</v>
      </c>
      <c r="H30" s="1304"/>
      <c r="I30" s="1304"/>
      <c r="J30" s="1301"/>
      <c r="K30" s="2136"/>
      <c r="L30" s="2136"/>
      <c r="M30" s="2136"/>
      <c r="N30" s="738"/>
      <c r="O30" s="2136"/>
      <c r="P30" s="737"/>
      <c r="Q30" s="737"/>
      <c r="R30" s="737"/>
      <c r="S30" s="737"/>
      <c r="T30" s="16715"/>
      <c r="U30" s="16715"/>
      <c r="V30" s="16715"/>
      <c r="W30" s="16715"/>
      <c r="X30" s="16715"/>
      <c r="Y30" s="16715"/>
      <c r="Z30" s="16715"/>
      <c r="AA30" s="16715"/>
      <c r="AB30" s="16715"/>
      <c r="AC30" s="16715"/>
    </row>
    <row customHeight="1" ht="15">
      <c r="A31" s="2729"/>
      <c r="B31" s="1672">
        <v>1</v>
      </c>
      <c r="C31" s="1672"/>
      <c r="D31" s="1312"/>
      <c r="E31" s="2325" t="str">
        <f>A30&amp;"."&amp;B31</f>
        <v>7.1</v>
      </c>
      <c r="F31" s="1315" t="s">
        <v>132</v>
      </c>
      <c r="G31" s="1305" t="s">
        <v>128</v>
      </c>
      <c r="H31" s="1305" t="s">
        <v>133</v>
      </c>
      <c r="I31" s="1303" t="s">
        <v>134</v>
      </c>
      <c r="J31" s="2136"/>
      <c r="K31" s="2148"/>
      <c r="L31" s="2148"/>
      <c r="M31" s="2136" t="str">
        <f t="array" ref="M31:M31">IF(ISERROR(MATCH(MID(N31,1,250),MID(note_ter,1,250),0)),"n","y")</f>
        <v>n</v>
      </c>
      <c r="N31" s="2148"/>
      <c r="O31" s="2136" t="str">
        <f>H31&amp;"("&amp;I31&amp;")"</f>
        <v>Реттиховское городское поселение(05653422)</v>
      </c>
      <c r="P31" s="1672"/>
      <c r="Q31" s="1672"/>
      <c r="R31" s="932"/>
      <c r="S31" s="1672"/>
      <c r="T31" s="1672"/>
      <c r="U31" s="1672"/>
      <c r="V31" s="934"/>
      <c r="W31" s="934"/>
      <c r="X31" s="931"/>
      <c r="Y31" s="931"/>
      <c r="Z31" s="931"/>
      <c r="AA31" s="931"/>
      <c r="AB31" s="931"/>
      <c r="AC31" s="931"/>
    </row>
    <row customHeight="1" ht="15">
      <c r="A32" s="2729"/>
      <c r="B32" s="1672"/>
      <c r="C32" s="924"/>
      <c r="D32" s="1313"/>
      <c r="E32" s="933"/>
      <c r="F32" s="689"/>
      <c r="G32" s="927" t="s">
        <v>104</v>
      </c>
      <c r="H32" s="699"/>
      <c r="I32" s="936"/>
      <c r="J32" s="2148"/>
      <c r="K32" s="2148"/>
      <c r="L32" s="2148"/>
      <c r="M32" s="2148"/>
      <c r="N32" s="2136"/>
      <c r="O32" s="2148"/>
      <c r="P32" s="1672"/>
      <c r="Q32" s="1672"/>
      <c r="R32" s="932"/>
      <c r="S32" s="1672"/>
      <c r="T32" s="1672"/>
      <c r="U32" s="1672"/>
      <c r="V32" s="934"/>
      <c r="W32" s="934"/>
      <c r="X32" s="931"/>
      <c r="Y32" s="931"/>
      <c r="Z32" s="931"/>
      <c r="AA32" s="931"/>
      <c r="AB32" s="931"/>
      <c r="AC32" s="931"/>
    </row>
    <row customHeight="1" ht="15">
      <c r="A33" s="2729" t="s">
        <v>135</v>
      </c>
      <c r="B33" s="1672"/>
      <c r="C33" s="1313" t="s">
        <v>106</v>
      </c>
      <c r="D33" s="2330"/>
      <c r="E33" s="2317" t="str">
        <f>A33</f>
        <v>8</v>
      </c>
      <c r="F33" s="1316" t="s">
        <v>136</v>
      </c>
      <c r="G33" s="1052" t="str">
        <f>"Территория "&amp;E33</f>
        <v>Территория 8</v>
      </c>
      <c r="H33" s="1304"/>
      <c r="I33" s="1304"/>
      <c r="J33" s="1301"/>
      <c r="K33" s="2136"/>
      <c r="L33" s="2136"/>
      <c r="M33" s="2136"/>
      <c r="N33" s="738"/>
      <c r="O33" s="2136"/>
      <c r="P33" s="737"/>
      <c r="Q33" s="737"/>
      <c r="R33" s="737"/>
      <c r="S33" s="737"/>
      <c r="T33" s="16715"/>
      <c r="U33" s="16715"/>
      <c r="V33" s="16715"/>
      <c r="W33" s="16715"/>
      <c r="X33" s="16715"/>
      <c r="Y33" s="16715"/>
      <c r="Z33" s="16715"/>
      <c r="AA33" s="16715"/>
      <c r="AB33" s="16715"/>
      <c r="AC33" s="16715"/>
    </row>
    <row customHeight="1" ht="15">
      <c r="A34" s="2729"/>
      <c r="B34" s="1672">
        <v>1</v>
      </c>
      <c r="C34" s="1672"/>
      <c r="D34" s="1312"/>
      <c r="E34" s="2325" t="str">
        <f>A33&amp;"."&amp;B34</f>
        <v>8.1</v>
      </c>
      <c r="F34" s="1315" t="s">
        <v>137</v>
      </c>
      <c r="G34" s="1305" t="s">
        <v>128</v>
      </c>
      <c r="H34" s="1305" t="s">
        <v>138</v>
      </c>
      <c r="I34" s="1303" t="s">
        <v>139</v>
      </c>
      <c r="J34" s="2136"/>
      <c r="K34" s="2148"/>
      <c r="L34" s="2148"/>
      <c r="M34" s="2136" t="str">
        <f t="array" ref="M34:M34">IF(ISERROR(MATCH(MID(N34,1,250),MID(note_ter,1,250),0)),"n","y")</f>
        <v>n</v>
      </c>
      <c r="N34" s="2148"/>
      <c r="O34" s="2136" t="str">
        <f>H34&amp;"("&amp;I34&amp;")"</f>
        <v>Снегуровское(05653419)</v>
      </c>
      <c r="P34" s="1672"/>
      <c r="Q34" s="1672"/>
      <c r="R34" s="932"/>
      <c r="S34" s="1672"/>
      <c r="T34" s="1672"/>
      <c r="U34" s="1672"/>
      <c r="V34" s="934"/>
      <c r="W34" s="934"/>
      <c r="X34" s="931"/>
      <c r="Y34" s="931"/>
      <c r="Z34" s="931"/>
      <c r="AA34" s="931"/>
      <c r="AB34" s="931"/>
      <c r="AC34" s="931"/>
    </row>
    <row customHeight="1" ht="15">
      <c r="A35" s="2729"/>
      <c r="B35" s="1672"/>
      <c r="C35" s="924"/>
      <c r="D35" s="1313"/>
      <c r="E35" s="933"/>
      <c r="F35" s="689"/>
      <c r="G35" s="927" t="s">
        <v>104</v>
      </c>
      <c r="H35" s="699"/>
      <c r="I35" s="936"/>
      <c r="J35" s="2148"/>
      <c r="K35" s="2148"/>
      <c r="L35" s="2148"/>
      <c r="M35" s="2148"/>
      <c r="N35" s="2136"/>
      <c r="O35" s="2148"/>
      <c r="P35" s="1672"/>
      <c r="Q35" s="1672"/>
      <c r="R35" s="932"/>
      <c r="S35" s="1672"/>
      <c r="T35" s="1672"/>
      <c r="U35" s="1672"/>
      <c r="V35" s="934"/>
      <c r="W35" s="934"/>
      <c r="X35" s="931"/>
      <c r="Y35" s="931"/>
      <c r="Z35" s="931"/>
      <c r="AA35" s="931"/>
      <c r="AB35" s="931"/>
      <c r="AC35" s="931"/>
    </row>
    <row customHeight="1" ht="15">
      <c r="A36" s="2729" t="s">
        <v>140</v>
      </c>
      <c r="B36" s="1672"/>
      <c r="C36" s="1313" t="s">
        <v>106</v>
      </c>
      <c r="D36" s="2330"/>
      <c r="E36" s="2317" t="str">
        <f>A36</f>
        <v>9</v>
      </c>
      <c r="F36" s="1316" t="s">
        <v>141</v>
      </c>
      <c r="G36" s="1052" t="str">
        <f>"Территория "&amp;E36</f>
        <v>Территория 9</v>
      </c>
      <c r="H36" s="1304"/>
      <c r="I36" s="1304"/>
      <c r="J36" s="1301"/>
      <c r="K36" s="2136"/>
      <c r="L36" s="2136"/>
      <c r="M36" s="2136"/>
      <c r="N36" s="738"/>
      <c r="O36" s="2136"/>
      <c r="P36" s="737"/>
      <c r="Q36" s="737"/>
      <c r="R36" s="737"/>
      <c r="S36" s="737"/>
      <c r="T36" s="16715"/>
      <c r="U36" s="16715"/>
      <c r="V36" s="16715"/>
      <c r="W36" s="16715"/>
      <c r="X36" s="16715"/>
      <c r="Y36" s="16715"/>
      <c r="Z36" s="16715"/>
      <c r="AA36" s="16715"/>
      <c r="AB36" s="16715"/>
      <c r="AC36" s="16715"/>
    </row>
    <row customHeight="1" ht="15">
      <c r="A37" s="2729"/>
      <c r="B37" s="1672">
        <v>1</v>
      </c>
      <c r="C37" s="1672"/>
      <c r="D37" s="1312"/>
      <c r="E37" s="2325" t="str">
        <f>A36&amp;"."&amp;B37</f>
        <v>9.1</v>
      </c>
      <c r="F37" s="1315" t="s">
        <v>142</v>
      </c>
      <c r="G37" s="1305" t="s">
        <v>128</v>
      </c>
      <c r="H37" s="1305" t="s">
        <v>143</v>
      </c>
      <c r="I37" s="1303" t="s">
        <v>144</v>
      </c>
      <c r="J37" s="2136"/>
      <c r="K37" s="2148"/>
      <c r="L37" s="2148"/>
      <c r="M37" s="2136" t="str">
        <f t="array" ref="M37:M37">IF(ISERROR(MATCH(MID(N37,1,250),MID(note_ter,1,250),0)),"n","y")</f>
        <v>n</v>
      </c>
      <c r="N37" s="2148"/>
      <c r="O37" s="2136" t="str">
        <f>H37&amp;"("&amp;I37&amp;")"</f>
        <v>Черниговское сельское поселение(05653425)</v>
      </c>
      <c r="P37" s="1672"/>
      <c r="Q37" s="1672"/>
      <c r="R37" s="932"/>
      <c r="S37" s="1672"/>
      <c r="T37" s="1672"/>
      <c r="U37" s="1672"/>
      <c r="V37" s="934"/>
      <c r="W37" s="934"/>
      <c r="X37" s="931"/>
      <c r="Y37" s="931"/>
      <c r="Z37" s="931"/>
      <c r="AA37" s="931"/>
      <c r="AB37" s="931"/>
      <c r="AC37" s="931"/>
    </row>
    <row customHeight="1" ht="15">
      <c r="A38" s="2729"/>
      <c r="B38" s="1672"/>
      <c r="C38" s="924"/>
      <c r="D38" s="1313"/>
      <c r="E38" s="933"/>
      <c r="F38" s="689"/>
      <c r="G38" s="927" t="s">
        <v>104</v>
      </c>
      <c r="H38" s="699"/>
      <c r="I38" s="936"/>
      <c r="J38" s="2148"/>
      <c r="K38" s="2148"/>
      <c r="L38" s="2148"/>
      <c r="M38" s="2148"/>
      <c r="N38" s="2136"/>
      <c r="O38" s="2148"/>
      <c r="P38" s="1672"/>
      <c r="Q38" s="1672"/>
      <c r="R38" s="932"/>
      <c r="S38" s="1672"/>
      <c r="T38" s="1672"/>
      <c r="U38" s="1672"/>
      <c r="V38" s="934"/>
      <c r="W38" s="934"/>
      <c r="X38" s="931"/>
      <c r="Y38" s="931"/>
      <c r="Z38" s="931"/>
      <c r="AA38" s="931"/>
      <c r="AB38" s="931"/>
      <c r="AC38" s="931"/>
    </row>
    <row customHeight="1" ht="15">
      <c r="A39" s="2729" t="s">
        <v>145</v>
      </c>
      <c r="B39" s="1672"/>
      <c r="C39" s="1313" t="s">
        <v>106</v>
      </c>
      <c r="D39" s="2330"/>
      <c r="E39" s="2317" t="str">
        <f>A39</f>
        <v>10</v>
      </c>
      <c r="F39" s="1316" t="s">
        <v>146</v>
      </c>
      <c r="G39" s="1052" t="str">
        <f>"Территория "&amp;E39</f>
        <v>Территория 10</v>
      </c>
      <c r="H39" s="1304"/>
      <c r="I39" s="1304"/>
      <c r="J39" s="1301"/>
      <c r="K39" s="2136"/>
      <c r="L39" s="2136"/>
      <c r="M39" s="2136"/>
      <c r="N39" s="738"/>
      <c r="O39" s="2136"/>
      <c r="P39" s="737"/>
      <c r="Q39" s="737"/>
      <c r="R39" s="737"/>
      <c r="S39" s="737"/>
      <c r="T39" s="16715"/>
      <c r="U39" s="16715"/>
      <c r="V39" s="16715"/>
      <c r="W39" s="16715"/>
      <c r="X39" s="16715"/>
      <c r="Y39" s="16715"/>
      <c r="Z39" s="16715"/>
      <c r="AA39" s="16715"/>
      <c r="AB39" s="16715"/>
      <c r="AC39" s="16715"/>
    </row>
    <row customHeight="1" ht="15">
      <c r="A40" s="2729"/>
      <c r="B40" s="1672">
        <v>1</v>
      </c>
      <c r="C40" s="1672"/>
      <c r="D40" s="1312"/>
      <c r="E40" s="2325" t="str">
        <f>A39&amp;"."&amp;B40</f>
        <v>10.1</v>
      </c>
      <c r="F40" s="1315" t="s">
        <v>147</v>
      </c>
      <c r="G40" s="1305" t="s">
        <v>148</v>
      </c>
      <c r="H40" s="1305" t="s">
        <v>149</v>
      </c>
      <c r="I40" s="1303" t="s">
        <v>150</v>
      </c>
      <c r="J40" s="2136"/>
      <c r="K40" s="2148"/>
      <c r="L40" s="2148"/>
      <c r="M40" s="2136" t="str">
        <f t="array" ref="M40:M40">IF(ISERROR(MATCH(MID(N40,1,250),MID(note_ter,1,250),0)),"n","y")</f>
        <v>n</v>
      </c>
      <c r="N40" s="2148"/>
      <c r="O40" s="2136" t="str">
        <f>H40&amp;"("&amp;I40&amp;")"</f>
        <v>Романовское сельское поселение(05657425)</v>
      </c>
      <c r="P40" s="1672"/>
      <c r="Q40" s="1672"/>
      <c r="R40" s="932"/>
      <c r="S40" s="1672"/>
      <c r="T40" s="1672"/>
      <c r="U40" s="1672"/>
      <c r="V40" s="934"/>
      <c r="W40" s="934"/>
      <c r="X40" s="931"/>
      <c r="Y40" s="931"/>
      <c r="Z40" s="931"/>
      <c r="AA40" s="931"/>
      <c r="AB40" s="931"/>
      <c r="AC40" s="931"/>
    </row>
    <row customHeight="1" ht="15">
      <c r="A41" s="2729"/>
      <c r="B41" s="1672"/>
      <c r="C41" s="924"/>
      <c r="D41" s="1313"/>
      <c r="E41" s="933"/>
      <c r="F41" s="689"/>
      <c r="G41" s="927" t="s">
        <v>104</v>
      </c>
      <c r="H41" s="699"/>
      <c r="I41" s="936"/>
      <c r="J41" s="2148"/>
      <c r="K41" s="2148"/>
      <c r="L41" s="2148"/>
      <c r="M41" s="2148"/>
      <c r="N41" s="2136"/>
      <c r="O41" s="2148"/>
      <c r="P41" s="1672"/>
      <c r="Q41" s="1672"/>
      <c r="R41" s="932"/>
      <c r="S41" s="1672"/>
      <c r="T41" s="1672"/>
      <c r="U41" s="1672"/>
      <c r="V41" s="934"/>
      <c r="W41" s="934"/>
      <c r="X41" s="931"/>
      <c r="Y41" s="931"/>
      <c r="Z41" s="931"/>
      <c r="AA41" s="931"/>
      <c r="AB41" s="931"/>
      <c r="AC41" s="931"/>
    </row>
    <row customHeight="1" ht="15">
      <c r="A42" s="2729" t="s">
        <v>151</v>
      </c>
      <c r="B42" s="1672"/>
      <c r="C42" s="1313" t="s">
        <v>106</v>
      </c>
      <c r="D42" s="2330"/>
      <c r="E42" s="2317" t="str">
        <f>A42</f>
        <v>11</v>
      </c>
      <c r="F42" s="1316" t="s">
        <v>152</v>
      </c>
      <c r="G42" s="1052" t="str">
        <f>"Территория "&amp;E42</f>
        <v>Территория 11</v>
      </c>
      <c r="H42" s="1304"/>
      <c r="I42" s="1304"/>
      <c r="J42" s="1301"/>
      <c r="K42" s="2136"/>
      <c r="L42" s="2136"/>
      <c r="M42" s="2136"/>
      <c r="N42" s="738"/>
      <c r="O42" s="2136"/>
      <c r="P42" s="737"/>
      <c r="Q42" s="737"/>
      <c r="R42" s="737"/>
      <c r="S42" s="737"/>
      <c r="T42" s="16715"/>
      <c r="U42" s="16715"/>
      <c r="V42" s="16715"/>
      <c r="W42" s="16715"/>
      <c r="X42" s="16715"/>
      <c r="Y42" s="16715"/>
      <c r="Z42" s="16715"/>
      <c r="AA42" s="16715"/>
      <c r="AB42" s="16715"/>
      <c r="AC42" s="16715"/>
    </row>
    <row customHeight="1" ht="15">
      <c r="A43" s="2729"/>
      <c r="B43" s="1672">
        <v>1</v>
      </c>
      <c r="C43" s="1672"/>
      <c r="D43" s="1312"/>
      <c r="E43" s="2325" t="str">
        <f>A42&amp;"."&amp;B43</f>
        <v>11.1</v>
      </c>
      <c r="F43" s="1315" t="s">
        <v>153</v>
      </c>
      <c r="G43" s="1305" t="s">
        <v>154</v>
      </c>
      <c r="H43" s="1305" t="s">
        <v>154</v>
      </c>
      <c r="I43" s="1303" t="s">
        <v>155</v>
      </c>
      <c r="J43" s="2136"/>
      <c r="K43" s="2148"/>
      <c r="L43" s="2148"/>
      <c r="M43" s="2136" t="str">
        <f t="array" ref="M43:M43">IF(ISERROR(MATCH(MID(N43,1,250),MID(note_ter,1,250),0)),"n","y")</f>
        <v>n</v>
      </c>
      <c r="N43" s="2148"/>
      <c r="O43" s="2136" t="str">
        <f>H43&amp;"("&amp;I43&amp;")"</f>
        <v>Шкотовский муниципальный округ(05557000)</v>
      </c>
      <c r="P43" s="1672"/>
      <c r="Q43" s="1672"/>
      <c r="R43" s="932"/>
      <c r="S43" s="1672"/>
      <c r="T43" s="1672"/>
      <c r="U43" s="1672"/>
      <c r="V43" s="934"/>
      <c r="W43" s="934"/>
      <c r="X43" s="931"/>
      <c r="Y43" s="931"/>
      <c r="Z43" s="931"/>
      <c r="AA43" s="931"/>
      <c r="AB43" s="931"/>
      <c r="AC43" s="931"/>
    </row>
    <row customHeight="1" ht="15">
      <c r="A44" s="2729"/>
      <c r="B44" s="1672"/>
      <c r="C44" s="924"/>
      <c r="D44" s="1313"/>
      <c r="E44" s="933"/>
      <c r="F44" s="689"/>
      <c r="G44" s="927" t="s">
        <v>104</v>
      </c>
      <c r="H44" s="699"/>
      <c r="I44" s="936"/>
      <c r="J44" s="2148"/>
      <c r="K44" s="2148"/>
      <c r="L44" s="2148"/>
      <c r="M44" s="2148"/>
      <c r="N44" s="2136"/>
      <c r="O44" s="2148"/>
      <c r="P44" s="1672"/>
      <c r="Q44" s="1672"/>
      <c r="R44" s="932"/>
      <c r="S44" s="1672"/>
      <c r="T44" s="1672"/>
      <c r="U44" s="1672"/>
      <c r="V44" s="934"/>
      <c r="W44" s="934"/>
      <c r="X44" s="931"/>
      <c r="Y44" s="931"/>
      <c r="Z44" s="931"/>
      <c r="AA44" s="931"/>
      <c r="AB44" s="931"/>
      <c r="AC44" s="931"/>
    </row>
    <row customHeight="1" ht="15">
      <c r="A45" s="2729" t="s">
        <v>156</v>
      </c>
      <c r="B45" s="1672"/>
      <c r="C45" s="1313" t="s">
        <v>106</v>
      </c>
      <c r="D45" s="2330"/>
      <c r="E45" s="2317" t="str">
        <f>A45</f>
        <v>12</v>
      </c>
      <c r="F45" s="1316" t="s">
        <v>157</v>
      </c>
      <c r="G45" s="1052" t="str">
        <f>"Территория "&amp;E45</f>
        <v>Территория 12</v>
      </c>
      <c r="H45" s="1304"/>
      <c r="I45" s="1304"/>
      <c r="J45" s="1301"/>
      <c r="K45" s="2136"/>
      <c r="L45" s="2136"/>
      <c r="M45" s="2136"/>
      <c r="N45" s="738"/>
      <c r="O45" s="2136"/>
      <c r="P45" s="737"/>
      <c r="Q45" s="737"/>
      <c r="R45" s="737"/>
      <c r="S45" s="737"/>
      <c r="T45" s="16715"/>
      <c r="U45" s="16715"/>
      <c r="V45" s="16715"/>
      <c r="W45" s="16715"/>
      <c r="X45" s="16715"/>
      <c r="Y45" s="16715"/>
      <c r="Z45" s="16715"/>
      <c r="AA45" s="16715"/>
      <c r="AB45" s="16715"/>
      <c r="AC45" s="16715"/>
    </row>
    <row customHeight="1" ht="15">
      <c r="A46" s="2729"/>
      <c r="B46" s="1672">
        <v>1</v>
      </c>
      <c r="C46" s="1672"/>
      <c r="D46" s="1312"/>
      <c r="E46" s="2325" t="str">
        <f>A45&amp;"."&amp;B46</f>
        <v>12.1</v>
      </c>
      <c r="F46" s="1315" t="s">
        <v>94</v>
      </c>
      <c r="G46" s="1305" t="s">
        <v>158</v>
      </c>
      <c r="H46" s="1305" t="s">
        <v>158</v>
      </c>
      <c r="I46" s="1303" t="s">
        <v>159</v>
      </c>
      <c r="J46" s="2136"/>
      <c r="K46" s="2148"/>
      <c r="L46" s="2148"/>
      <c r="M46" s="2136" t="str">
        <f t="array" ref="M46:M46">IF(ISERROR(MATCH(MID(N46,1,250),MID(note_ter,1,250),0)),"n","y")</f>
        <v>n</v>
      </c>
      <c r="N46" s="2148"/>
      <c r="O46" s="2136" t="str">
        <f>H46&amp;"("&amp;I46&amp;")"</f>
        <v>Дальнегорский городской округ(05707000)</v>
      </c>
      <c r="P46" s="1672"/>
      <c r="Q46" s="1672"/>
      <c r="R46" s="932"/>
      <c r="S46" s="1672"/>
      <c r="T46" s="1672"/>
      <c r="U46" s="1672"/>
      <c r="V46" s="934"/>
      <c r="W46" s="934"/>
      <c r="X46" s="931"/>
      <c r="Y46" s="931"/>
      <c r="Z46" s="931"/>
      <c r="AA46" s="931"/>
      <c r="AB46" s="931"/>
      <c r="AC46" s="931"/>
    </row>
    <row customHeight="1" ht="15">
      <c r="A47" s="2729"/>
      <c r="B47" s="1672"/>
      <c r="C47" s="924"/>
      <c r="D47" s="1313"/>
      <c r="E47" s="933"/>
      <c r="F47" s="689"/>
      <c r="G47" s="927" t="s">
        <v>104</v>
      </c>
      <c r="H47" s="699"/>
      <c r="I47" s="936"/>
      <c r="J47" s="2148"/>
      <c r="K47" s="2148"/>
      <c r="L47" s="2148"/>
      <c r="M47" s="2148"/>
      <c r="N47" s="2136"/>
      <c r="O47" s="2148"/>
      <c r="P47" s="1672"/>
      <c r="Q47" s="1672"/>
      <c r="R47" s="932"/>
      <c r="S47" s="1672"/>
      <c r="T47" s="1672"/>
      <c r="U47" s="1672"/>
      <c r="V47" s="934"/>
      <c r="W47" s="934"/>
      <c r="X47" s="931"/>
      <c r="Y47" s="931"/>
      <c r="Z47" s="931"/>
      <c r="AA47" s="931"/>
      <c r="AB47" s="931"/>
      <c r="AC47" s="931"/>
    </row>
    <row customHeight="1" ht="15">
      <c r="A48" s="2729" t="s">
        <v>160</v>
      </c>
      <c r="B48" s="1672"/>
      <c r="C48" s="1313" t="s">
        <v>106</v>
      </c>
      <c r="D48" s="2330"/>
      <c r="E48" s="2317" t="str">
        <f>A48</f>
        <v>13</v>
      </c>
      <c r="F48" s="1316" t="s">
        <v>161</v>
      </c>
      <c r="G48" s="1052" t="str">
        <f>"Территория "&amp;E48</f>
        <v>Территория 13</v>
      </c>
      <c r="H48" s="1304"/>
      <c r="I48" s="1304"/>
      <c r="J48" s="1301"/>
      <c r="K48" s="2136"/>
      <c r="L48" s="2136"/>
      <c r="M48" s="2136"/>
      <c r="N48" s="738"/>
      <c r="O48" s="2136"/>
      <c r="P48" s="737"/>
      <c r="Q48" s="737"/>
      <c r="R48" s="737"/>
      <c r="S48" s="737"/>
      <c r="T48" s="16715"/>
      <c r="U48" s="16715"/>
      <c r="V48" s="16715"/>
      <c r="W48" s="16715"/>
      <c r="X48" s="16715"/>
      <c r="Y48" s="16715"/>
      <c r="Z48" s="16715"/>
      <c r="AA48" s="16715"/>
      <c r="AB48" s="16715"/>
      <c r="AC48" s="16715"/>
    </row>
    <row customHeight="1" ht="15">
      <c r="A49" s="2729"/>
      <c r="B49" s="1672">
        <v>1</v>
      </c>
      <c r="C49" s="1672"/>
      <c r="D49" s="1312"/>
      <c r="E49" s="2325" t="str">
        <f>A48&amp;"."&amp;B49</f>
        <v>13.1</v>
      </c>
      <c r="F49" s="1315" t="s">
        <v>95</v>
      </c>
      <c r="G49" s="1305" t="s">
        <v>162</v>
      </c>
      <c r="H49" s="1305" t="s">
        <v>162</v>
      </c>
      <c r="I49" s="1303" t="s">
        <v>163</v>
      </c>
      <c r="J49" s="2136"/>
      <c r="K49" s="2148"/>
      <c r="L49" s="2148"/>
      <c r="M49" s="2136" t="str">
        <f t="array" ref="M49:M49">IF(ISERROR(MATCH(MID(N49,1,250),MID(note_ter,1,250),0)),"n","y")</f>
        <v>n</v>
      </c>
      <c r="N49" s="2148"/>
      <c r="O49" s="2136" t="str">
        <f>H49&amp;"("&amp;I49&amp;")"</f>
        <v>Дальнереченский городской округ(05708000)</v>
      </c>
      <c r="P49" s="1672"/>
      <c r="Q49" s="1672"/>
      <c r="R49" s="932"/>
      <c r="S49" s="1672"/>
      <c r="T49" s="1672"/>
      <c r="U49" s="1672"/>
      <c r="V49" s="934"/>
      <c r="W49" s="934"/>
      <c r="X49" s="931"/>
      <c r="Y49" s="931"/>
      <c r="Z49" s="931"/>
      <c r="AA49" s="931"/>
      <c r="AB49" s="931"/>
      <c r="AC49" s="931"/>
    </row>
    <row customHeight="1" ht="15">
      <c r="A50" s="2729"/>
      <c r="B50" s="1672"/>
      <c r="C50" s="924"/>
      <c r="D50" s="1313"/>
      <c r="E50" s="933"/>
      <c r="F50" s="689"/>
      <c r="G50" s="927" t="s">
        <v>104</v>
      </c>
      <c r="H50" s="699"/>
      <c r="I50" s="936"/>
      <c r="J50" s="2148"/>
      <c r="K50" s="2148"/>
      <c r="L50" s="2148"/>
      <c r="M50" s="2148"/>
      <c r="N50" s="2136"/>
      <c r="O50" s="2148"/>
      <c r="P50" s="1672"/>
      <c r="Q50" s="1672"/>
      <c r="R50" s="932"/>
      <c r="S50" s="1672"/>
      <c r="T50" s="1672"/>
      <c r="U50" s="1672"/>
      <c r="V50" s="934"/>
      <c r="W50" s="934"/>
      <c r="X50" s="931"/>
      <c r="Y50" s="931"/>
      <c r="Z50" s="931"/>
      <c r="AA50" s="931"/>
      <c r="AB50" s="931"/>
      <c r="AC50" s="931"/>
    </row>
    <row customHeight="1" ht="15">
      <c r="A51" s="2729" t="s">
        <v>164</v>
      </c>
      <c r="B51" s="1672"/>
      <c r="C51" s="1313" t="s">
        <v>106</v>
      </c>
      <c r="D51" s="2330"/>
      <c r="E51" s="2317" t="str">
        <f>A51</f>
        <v>14</v>
      </c>
      <c r="F51" s="1316" t="s">
        <v>165</v>
      </c>
      <c r="G51" s="1052" t="str">
        <f>"Территория "&amp;E51</f>
        <v>Территория 14</v>
      </c>
      <c r="H51" s="1304"/>
      <c r="I51" s="1304"/>
      <c r="J51" s="1301"/>
      <c r="K51" s="2136"/>
      <c r="L51" s="2136"/>
      <c r="M51" s="2136"/>
      <c r="N51" s="738"/>
      <c r="O51" s="2136"/>
      <c r="P51" s="737"/>
      <c r="Q51" s="737"/>
      <c r="R51" s="737"/>
      <c r="S51" s="737"/>
      <c r="T51" s="16715"/>
      <c r="U51" s="16715"/>
      <c r="V51" s="16715"/>
      <c r="W51" s="16715"/>
      <c r="X51" s="16715"/>
      <c r="Y51" s="16715"/>
      <c r="Z51" s="16715"/>
      <c r="AA51" s="16715"/>
      <c r="AB51" s="16715"/>
      <c r="AC51" s="16715"/>
    </row>
    <row customHeight="1" ht="15">
      <c r="A52" s="2729"/>
      <c r="B52" s="1672">
        <v>1</v>
      </c>
      <c r="C52" s="1672"/>
      <c r="D52" s="1312"/>
      <c r="E52" s="2325" t="str">
        <f>A51&amp;"."&amp;B52</f>
        <v>14.1</v>
      </c>
      <c r="F52" s="1315" t="s">
        <v>121</v>
      </c>
      <c r="G52" s="1305" t="s">
        <v>166</v>
      </c>
      <c r="H52" s="1305" t="s">
        <v>166</v>
      </c>
      <c r="I52" s="1303" t="s">
        <v>167</v>
      </c>
      <c r="J52" s="2136"/>
      <c r="K52" s="2148"/>
      <c r="L52" s="2148"/>
      <c r="M52" s="2136" t="str">
        <f t="array" ref="M52:M52">IF(ISERROR(MATCH(MID(N52,1,250),MID(note_ter,1,250),0)),"n","y")</f>
        <v>n</v>
      </c>
      <c r="N52" s="2148"/>
      <c r="O52" s="2136" t="str">
        <f>H52&amp;"("&amp;I52&amp;")"</f>
        <v>Городской округ Спасск-Дальний(05720000)</v>
      </c>
      <c r="P52" s="1672"/>
      <c r="Q52" s="1672"/>
      <c r="R52" s="932"/>
      <c r="S52" s="1672"/>
      <c r="T52" s="1672"/>
      <c r="U52" s="1672"/>
      <c r="V52" s="934"/>
      <c r="W52" s="934"/>
      <c r="X52" s="931"/>
      <c r="Y52" s="931"/>
      <c r="Z52" s="931"/>
      <c r="AA52" s="931"/>
      <c r="AB52" s="931"/>
      <c r="AC52" s="931"/>
    </row>
    <row customHeight="1" ht="15">
      <c r="A53" s="2729"/>
      <c r="B53" s="1672"/>
      <c r="C53" s="924"/>
      <c r="D53" s="1313"/>
      <c r="E53" s="933"/>
      <c r="F53" s="689"/>
      <c r="G53" s="927" t="s">
        <v>104</v>
      </c>
      <c r="H53" s="699"/>
      <c r="I53" s="936"/>
      <c r="J53" s="2148"/>
      <c r="K53" s="2148"/>
      <c r="L53" s="2148"/>
      <c r="M53" s="2148"/>
      <c r="N53" s="2136"/>
      <c r="O53" s="2148"/>
      <c r="P53" s="1672"/>
      <c r="Q53" s="1672"/>
      <c r="R53" s="932"/>
      <c r="S53" s="1672"/>
      <c r="T53" s="1672"/>
      <c r="U53" s="1672"/>
      <c r="V53" s="934"/>
      <c r="W53" s="934"/>
      <c r="X53" s="931"/>
      <c r="Y53" s="931"/>
      <c r="Z53" s="931"/>
      <c r="AA53" s="931"/>
      <c r="AB53" s="931"/>
      <c r="AC53" s="931"/>
    </row>
    <row customHeight="1" ht="15">
      <c r="A54" s="2729" t="s">
        <v>168</v>
      </c>
      <c r="B54" s="1672"/>
      <c r="C54" s="1313" t="s">
        <v>106</v>
      </c>
      <c r="D54" s="2330"/>
      <c r="E54" s="2317" t="str">
        <f>A54</f>
        <v>15</v>
      </c>
      <c r="F54" s="1316" t="s">
        <v>169</v>
      </c>
      <c r="G54" s="1052" t="str">
        <f>"Территория "&amp;E54</f>
        <v>Территория 15</v>
      </c>
      <c r="H54" s="1304"/>
      <c r="I54" s="1304"/>
      <c r="J54" s="1301"/>
      <c r="K54" s="2136"/>
      <c r="L54" s="2136"/>
      <c r="M54" s="2136"/>
      <c r="N54" s="738"/>
      <c r="O54" s="2136"/>
      <c r="P54" s="737"/>
      <c r="Q54" s="737"/>
      <c r="R54" s="737"/>
      <c r="S54" s="737"/>
      <c r="T54" s="16715"/>
      <c r="U54" s="16715"/>
      <c r="V54" s="16715"/>
      <c r="W54" s="16715"/>
      <c r="X54" s="16715"/>
      <c r="Y54" s="16715"/>
      <c r="Z54" s="16715"/>
      <c r="AA54" s="16715"/>
      <c r="AB54" s="16715"/>
      <c r="AC54" s="16715"/>
    </row>
    <row customHeight="1" ht="15">
      <c r="A55" s="2729"/>
      <c r="B55" s="1672">
        <v>1</v>
      </c>
      <c r="C55" s="1672"/>
      <c r="D55" s="1312"/>
      <c r="E55" s="2325" t="str">
        <f>A54&amp;"."&amp;B55</f>
        <v>15.1</v>
      </c>
      <c r="F55" s="1315" t="s">
        <v>170</v>
      </c>
      <c r="G55" s="1305" t="s">
        <v>171</v>
      </c>
      <c r="H55" s="1305" t="s">
        <v>171</v>
      </c>
      <c r="I55" s="1303" t="s">
        <v>172</v>
      </c>
      <c r="J55" s="2136"/>
      <c r="K55" s="2148"/>
      <c r="L55" s="2148"/>
      <c r="M55" s="2136" t="str">
        <f t="array" ref="M55:M55">IF(ISERROR(MATCH(MID(N55,1,250),MID(note_ter,1,250),0)),"n","y")</f>
        <v>n</v>
      </c>
      <c r="N55" s="2148"/>
      <c r="O55" s="2136" t="str">
        <f>H55&amp;"("&amp;I55&amp;")"</f>
        <v>городской округ ЗАТО Фокино(05747000)</v>
      </c>
      <c r="P55" s="1672"/>
      <c r="Q55" s="1672"/>
      <c r="R55" s="932"/>
      <c r="S55" s="1672"/>
      <c r="T55" s="1672"/>
      <c r="U55" s="1672"/>
      <c r="V55" s="934"/>
      <c r="W55" s="934"/>
      <c r="X55" s="931"/>
      <c r="Y55" s="931"/>
      <c r="Z55" s="931"/>
      <c r="AA55" s="931"/>
      <c r="AB55" s="931"/>
      <c r="AC55" s="931"/>
    </row>
    <row customHeight="1" ht="15">
      <c r="A56" s="2729"/>
      <c r="B56" s="1672"/>
      <c r="C56" s="924"/>
      <c r="D56" s="1313"/>
      <c r="E56" s="933"/>
      <c r="F56" s="689"/>
      <c r="G56" s="927" t="s">
        <v>104</v>
      </c>
      <c r="H56" s="699"/>
      <c r="I56" s="936"/>
      <c r="J56" s="2148"/>
      <c r="K56" s="2148"/>
      <c r="L56" s="2148"/>
      <c r="M56" s="2148"/>
      <c r="N56" s="2136"/>
      <c r="O56" s="2148"/>
      <c r="P56" s="1672"/>
      <c r="Q56" s="1672"/>
      <c r="R56" s="932"/>
      <c r="S56" s="1672"/>
      <c r="T56" s="1672"/>
      <c r="U56" s="1672"/>
      <c r="V56" s="934"/>
      <c r="W56" s="934"/>
      <c r="X56" s="931"/>
      <c r="Y56" s="931"/>
      <c r="Z56" s="931"/>
      <c r="AA56" s="931"/>
      <c r="AB56" s="931"/>
      <c r="AC56" s="931"/>
    </row>
    <row s="50897" customFormat="1" customHeight="1" ht="14.699999999999998">
      <c r="A57" s="1270"/>
      <c r="B57" s="929"/>
      <c r="C57" s="1270"/>
      <c r="D57" s="1294"/>
      <c r="E57" s="1306"/>
      <c r="F57" s="690"/>
      <c r="G57" s="928" t="s">
        <v>173</v>
      </c>
      <c r="H57" s="690"/>
      <c r="I57" s="691"/>
      <c r="J57" s="761"/>
      <c r="K57" s="667"/>
      <c r="L57" s="667"/>
      <c r="M57" s="667"/>
      <c r="N57" s="738" t="s">
        <v>174</v>
      </c>
      <c r="O57" s="667"/>
      <c r="P57" s="737"/>
      <c r="Q57" s="737"/>
      <c r="R57" s="737"/>
      <c r="S57" s="737"/>
      <c r="AC57" s="628">
        <v>14</v>
      </c>
    </row>
    <row s="50897" customFormat="1" customHeight="1" ht="22.049999999999997">
      <c r="A58" s="1270"/>
      <c r="B58" s="929"/>
      <c r="C58" s="1270"/>
      <c r="D58" s="677"/>
      <c r="E58" s="692"/>
      <c r="F58" s="692"/>
      <c r="G58" s="692"/>
      <c r="H58" s="692"/>
      <c r="I58" s="692"/>
      <c r="J58" s="667"/>
      <c r="K58" s="667"/>
      <c r="L58" s="667"/>
      <c r="M58" s="667"/>
      <c r="N58" s="738"/>
      <c r="O58" s="667"/>
      <c r="P58" s="737"/>
      <c r="Q58" s="737"/>
      <c r="R58" s="737"/>
      <c r="S58" s="737"/>
      <c r="AC58" s="628">
        <v>21</v>
      </c>
    </row>
    <row s="50897" customFormat="1" customHeight="1" ht="14.699999999999998">
      <c r="A59" s="1270"/>
      <c r="B59" s="929"/>
      <c r="C59" s="1270"/>
      <c r="D59" s="677"/>
      <c r="E59" s="595"/>
      <c r="F59" s="1270"/>
      <c r="G59" s="595"/>
      <c r="H59" s="595"/>
      <c r="I59" s="595"/>
      <c r="J59" s="667"/>
      <c r="K59" s="667"/>
      <c r="L59" s="667"/>
      <c r="M59" s="667"/>
      <c r="N59" s="738"/>
      <c r="O59" s="667"/>
      <c r="P59" s="737"/>
      <c r="Q59" s="737"/>
      <c r="R59" s="737"/>
      <c r="S59" s="737"/>
      <c r="AC59" s="628">
        <v>14</v>
      </c>
    </row>
    <row s="50897" customFormat="1" customHeight="1" ht="1.05">
      <c r="A60" s="1270"/>
      <c r="B60" s="929"/>
      <c r="C60" s="1270"/>
      <c r="D60" s="677"/>
      <c r="E60" s="595"/>
      <c r="F60" s="1270"/>
      <c r="G60" s="595"/>
      <c r="H60" s="595"/>
      <c r="I60" s="595"/>
      <c r="J60" s="667"/>
      <c r="K60" s="667"/>
      <c r="L60" s="667"/>
      <c r="M60" s="667"/>
      <c r="N60" s="738"/>
      <c r="O60" s="667"/>
      <c r="P60" s="737"/>
      <c r="Q60" s="737"/>
      <c r="R60" s="737"/>
      <c r="S60" s="737"/>
      <c r="AC60" s="628">
        <v>1</v>
      </c>
    </row>
    <row s="50975" customFormat="1" customHeight="1" ht="10.5">
      <c r="B61" s="1346"/>
      <c r="D61" s="694"/>
      <c r="J61" s="667"/>
      <c r="K61" s="667"/>
      <c r="L61" s="667"/>
      <c r="M61" s="667"/>
      <c r="N61" s="738"/>
      <c r="O61" s="667"/>
      <c r="P61" s="737"/>
      <c r="Q61" s="737"/>
      <c r="R61" s="737"/>
      <c r="S61" s="737"/>
      <c r="AC61" s="693">
        <v>10</v>
      </c>
    </row>
    <row s="50975" customFormat="1" customHeight="1" ht="10.5">
      <c r="B62" s="1346"/>
      <c r="D62" s="694"/>
      <c r="J62" s="667"/>
      <c r="K62" s="667"/>
      <c r="L62" s="667"/>
      <c r="M62" s="667"/>
      <c r="N62" s="738"/>
      <c r="O62" s="667"/>
      <c r="P62" s="737"/>
      <c r="Q62" s="737"/>
      <c r="R62" s="737"/>
      <c r="S62" s="737"/>
      <c r="AC62" s="693">
        <v>10</v>
      </c>
    </row>
    <row customHeight="1" ht="14.699999999999998">
      <c r="AC63" s="595">
        <v>14</v>
      </c>
    </row>
    <row customHeight="1" ht="14.699999999999998">
      <c r="AC64" s="595">
        <v>14</v>
      </c>
    </row>
    <row customHeight="1" ht="14.699999999999998">
      <c r="AC65" s="595">
        <v>14</v>
      </c>
    </row>
    <row customHeight="1" ht="14.699999999999998">
      <c r="H66" s="574"/>
      <c r="AC66" s="595">
        <v>14</v>
      </c>
    </row>
    <row customHeight="1" ht="14.699999999999998">
      <c r="AC67" s="595">
        <v>14</v>
      </c>
    </row>
    <row customHeight="1" ht="14.699999999999998">
      <c r="AC68" s="595">
        <v>14</v>
      </c>
    </row>
    <row customHeight="1" ht="14.699999999999998">
      <c r="AC69" s="595">
        <v>14</v>
      </c>
    </row>
    <row customHeight="1" ht="14.699999999999998">
      <c r="J70" s="595"/>
      <c r="K70" s="595"/>
      <c r="L70" s="595"/>
      <c r="AC70" s="595">
        <v>14</v>
      </c>
    </row>
    <row customHeight="1" ht="22.5" hidden="1">
      <c r="A71" s="1270" t="s">
        <v>84</v>
      </c>
      <c r="B71" s="929">
        <v>0</v>
      </c>
      <c r="C71" s="1270">
        <v>3</v>
      </c>
      <c r="D71" s="677">
        <v>3</v>
      </c>
      <c r="E71" s="595">
        <v>6</v>
      </c>
      <c r="F71" s="1270">
        <v>0</v>
      </c>
      <c r="G71" s="595">
        <v>46</v>
      </c>
      <c r="H71" s="595">
        <v>42</v>
      </c>
      <c r="I71" s="595">
        <v>14</v>
      </c>
      <c r="J71" s="667">
        <v>3</v>
      </c>
      <c r="K71" s="667">
        <v>0</v>
      </c>
      <c r="L71" s="667">
        <v>0</v>
      </c>
      <c r="M71" s="667">
        <v>0</v>
      </c>
      <c r="N71" s="738">
        <v>0</v>
      </c>
      <c r="O71" s="667">
        <v>0</v>
      </c>
      <c r="P71" s="737">
        <v>0</v>
      </c>
      <c r="Q71" s="737">
        <v>0</v>
      </c>
      <c r="R71" s="737">
        <v>0</v>
      </c>
      <c r="S71" s="737">
        <v>0</v>
      </c>
      <c r="T71" s="595">
        <v>0</v>
      </c>
      <c r="U71" s="595">
        <v>0</v>
      </c>
      <c r="V71" s="595">
        <v>0</v>
      </c>
      <c r="W71" s="595">
        <v>0</v>
      </c>
      <c r="X71" s="595">
        <v>0</v>
      </c>
      <c r="Y71" s="595">
        <v>0</v>
      </c>
      <c r="Z71" s="595">
        <v>0</v>
      </c>
      <c r="AA71" s="595">
        <v>0</v>
      </c>
      <c r="AB71" s="595">
        <v>8</v>
      </c>
      <c r="AC71" s="595">
        <v>23</v>
      </c>
    </row>
  </sheetData>
  <sheetProtection formatColumns="0" formatRows="0" autoFilter="0" sort="0" insertRows="0" insertColumns="1" deleteRows="0" deleteColumns="0"/>
  <mergeCells count="18">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s>
  <dataValidations count="15">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16E982-B9C7-C5DC-C863-AC67AF684D3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8" style="50801" width="19.7109375" hidden="1" customWidth="1"/>
    <col min="29" max="29" style="50801" width="11.7109375" hidden="1" customWidth="1"/>
    <col min="30" max="30" style="50801" width="3.7109375" hidden="1" customWidth="1"/>
    <col min="31" max="31" style="50801" width="11.7109375" hidden="1" customWidth="1"/>
    <col min="32" max="32" style="50801" width="8.57421875" hidden="1" customWidth="1"/>
    <col min="33" max="33" style="50801" width="19.7109375" customWidth="1"/>
    <col min="34" max="39" style="50801" width="19.00390625" customWidth="1"/>
    <col min="40" max="40" style="50801" width="11.00390625" customWidth="1"/>
    <col min="41" max="41" style="50801" width="3.7109375" customWidth="1"/>
    <col min="42" max="42" style="50801" width="11.00390625" customWidth="1"/>
    <col min="43" max="43" style="50801" width="8.57421875" hidden="1" customWidth="1"/>
    <col min="44" max="44" style="50801" width="4.00390625" customWidth="1"/>
    <col min="45" max="45" style="50801" width="115.00390625" customWidth="1"/>
    <col min="46" max="50" style="50882" width="10.00390625" customWidth="1"/>
    <col min="51" max="51" style="50801" width="10.57421875" hidden="1"/>
  </cols>
  <sheetData>
    <row customHeight="1" ht="22.5" hidden="1">
      <c r="AC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189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536</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537</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668</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669</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619</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620</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545</v>
      </c>
      <c r="P6" s="2769"/>
      <c r="Q6" s="2769">
        <v>1</v>
      </c>
      <c r="R6" s="869"/>
      <c r="S6" s="2005">
        <f>$J6</f>
      </c>
      <c r="T6" s="798" t="s">
        <v>546</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621</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263"/>
      <c r="AC7" s="2777"/>
      <c r="AD7" s="2619" t="s">
        <v>63</v>
      </c>
      <c r="AE7" s="2777"/>
      <c r="AF7" s="2619" t="s">
        <v>63</v>
      </c>
      <c r="AG7" s="1263"/>
      <c r="AH7" s="1263"/>
      <c r="AI7" s="1263"/>
      <c r="AJ7" s="1263"/>
      <c r="AK7" s="1263"/>
      <c r="AL7" s="1263"/>
      <c r="AM7" s="1263"/>
      <c r="AN7" s="2777"/>
      <c r="AO7" s="2619" t="s">
        <v>63</v>
      </c>
      <c r="AP7" s="2799"/>
      <c r="AQ7" s="2619" t="s">
        <v>63</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37"/>
      <c r="AC8" s="2778"/>
      <c r="AD8" s="2619"/>
      <c r="AE8" s="2778"/>
      <c r="AF8" s="2619"/>
      <c r="AG8" s="837"/>
      <c r="AH8" s="837"/>
      <c r="AI8" s="837"/>
      <c r="AJ8" s="837"/>
      <c r="AK8" s="837"/>
      <c r="AL8" s="837"/>
      <c r="AM8" s="837"/>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1112"/>
      <c r="X9" s="1112"/>
      <c r="Y9" s="1112"/>
      <c r="Z9" s="1112"/>
      <c r="AA9" s="1112"/>
      <c r="AB9" s="1112"/>
      <c r="AC9" s="879"/>
      <c r="AD9" s="879"/>
      <c r="AE9" s="879"/>
      <c r="AF9" s="879"/>
      <c r="AG9" s="879"/>
      <c r="AH9" s="1112"/>
      <c r="AI9" s="1112"/>
      <c r="AJ9" s="1112"/>
      <c r="AK9" s="1112"/>
      <c r="AL9" s="1112"/>
      <c r="AM9" s="879"/>
      <c r="AN9" s="879"/>
      <c r="AO9" s="879"/>
      <c r="AP9" s="879"/>
      <c r="AQ9" s="879"/>
      <c r="AR9" s="879"/>
      <c r="AS9" s="1770" t="s">
        <v>623</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551</v>
      </c>
      <c r="U10" s="879"/>
      <c r="V10" s="879"/>
      <c r="W10" s="1112"/>
      <c r="X10" s="1112"/>
      <c r="Y10" s="1112"/>
      <c r="Z10" s="1112"/>
      <c r="AA10" s="1112"/>
      <c r="AB10" s="1112"/>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1112"/>
      <c r="X11" s="1112"/>
      <c r="Y11" s="1112"/>
      <c r="Z11" s="1112"/>
      <c r="AA11" s="1112"/>
      <c r="AB11" s="1112"/>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50882"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2"/>
      <c r="AN15" s="2779"/>
      <c r="AO15" s="2780" t="s">
        <v>63</v>
      </c>
      <c r="AP15" s="2779"/>
      <c r="AQ15" s="2780" t="s">
        <v>63</v>
      </c>
      <c r="AY15" s="1667">
        <v>0</v>
      </c>
    </row>
    <row customHeight="1" ht="14.25" hidden="1">
      <c r="AG16" s="1872"/>
      <c r="AH16" s="1872"/>
      <c r="AI16" s="1872"/>
      <c r="AJ16" s="1872"/>
      <c r="AK16" s="1872"/>
      <c r="AL16" s="1872"/>
      <c r="AM16" s="1872"/>
      <c r="AN16" s="2780"/>
      <c r="AO16" s="2780"/>
      <c r="AP16" s="2780"/>
      <c r="AQ16" s="2780"/>
      <c r="AY16" s="1667">
        <v>0</v>
      </c>
    </row>
    <row customHeight="1" ht="14.25" hidden="1">
      <c r="AQ17" s="839"/>
      <c r="AY17" s="1667">
        <v>0</v>
      </c>
    </row>
    <row s="50881" customFormat="1" customHeight="1" ht="22.5" hidden="1">
      <c r="L18" s="1990"/>
      <c r="M18" s="1874"/>
      <c r="N18" s="1874"/>
      <c r="O18" s="1879" t="s">
        <v>554</v>
      </c>
      <c r="P18" s="1874"/>
      <c r="Q18" s="1883"/>
      <c r="R18" s="1883"/>
      <c r="S18" s="1241"/>
      <c r="W18" s="1878"/>
      <c r="X18" s="1878"/>
      <c r="Y18" s="1878"/>
      <c r="Z18" s="1878"/>
      <c r="AA18" s="1878"/>
      <c r="AB18" s="1878"/>
      <c r="AC18" s="1879"/>
      <c r="AE18" s="1879"/>
      <c r="AF18" s="1878"/>
      <c r="AH18" s="1878"/>
      <c r="AI18" s="1878"/>
      <c r="AJ18" s="1878"/>
      <c r="AK18" s="1878"/>
      <c r="AL18" s="1878"/>
      <c r="AN18" s="1879"/>
      <c r="AP18" s="1879"/>
      <c r="AQ18" s="1878"/>
      <c r="AT18" s="1023"/>
      <c r="AU18" s="1023"/>
      <c r="AV18" s="1023"/>
      <c r="AW18" s="1023"/>
      <c r="AX18" s="1023"/>
      <c r="AY18" s="1672">
        <v>0</v>
      </c>
    </row>
    <row s="50881" customFormat="1" customHeight="1" ht="14.25" hidden="1">
      <c r="L19" s="1990"/>
      <c r="M19" s="1874"/>
      <c r="N19" s="1874"/>
      <c r="O19" s="1874"/>
      <c r="P19" s="1874"/>
      <c r="Q19" s="1883"/>
      <c r="R19" s="1883"/>
      <c r="S19" s="1241"/>
      <c r="W19" s="1878"/>
      <c r="X19" s="1878"/>
      <c r="Y19" s="1878"/>
      <c r="Z19" s="1878"/>
      <c r="AA19" s="1878"/>
      <c r="AB19" s="1878"/>
      <c r="AF19" s="1878"/>
      <c r="AH19" s="1878"/>
      <c r="AI19" s="1878"/>
      <c r="AJ19" s="1878"/>
      <c r="AK19" s="1878"/>
      <c r="AL19" s="1878"/>
      <c r="AQ19" s="1878"/>
      <c r="AT19" s="1023"/>
      <c r="AU19" s="1023"/>
      <c r="AV19" s="1023"/>
      <c r="AW19" s="1023"/>
      <c r="AX19" s="1023"/>
      <c r="AY19" s="1672">
        <v>0</v>
      </c>
    </row>
    <row s="50881" customFormat="1" customHeight="1" ht="12" hidden="1">
      <c r="L20" s="1990"/>
      <c r="M20" s="1874"/>
      <c r="N20" s="1874"/>
      <c r="O20" s="1876" t="s">
        <v>555</v>
      </c>
      <c r="P20" s="1874"/>
      <c r="Q20" s="1954"/>
      <c r="R20" s="1954"/>
      <c r="S20" s="1241"/>
      <c r="T20" s="1672" t="s">
        <v>556</v>
      </c>
      <c r="W20" s="1878"/>
      <c r="X20" s="1878"/>
      <c r="Y20" s="1878"/>
      <c r="Z20" s="1878"/>
      <c r="AA20" s="1878"/>
      <c r="AB20" s="1878"/>
      <c r="AD20" s="698" t="s">
        <v>557</v>
      </c>
      <c r="AF20" s="698" t="s">
        <v>558</v>
      </c>
      <c r="AG20" s="1672" t="s">
        <v>556</v>
      </c>
      <c r="AH20" s="1878"/>
      <c r="AI20" s="1878"/>
      <c r="AJ20" s="1878"/>
      <c r="AK20" s="1878"/>
      <c r="AL20" s="1878"/>
      <c r="AO20" s="698" t="s">
        <v>559</v>
      </c>
      <c r="AQ20" s="698" t="s">
        <v>558</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2147"/>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2763"/>
      <c r="AC27" s="2763"/>
      <c r="AD27" s="2763"/>
      <c r="AE27" s="2763"/>
      <c r="AF27" s="838"/>
      <c r="AG27" s="2763" t="str">
        <f>IF(TITLE_NAME_OR_PR_CHANGE="",IF(TITLE_NAME_OR_PR="","",TITLE_NAME_OR_PR),TITLE_NAME_OR_PR_CHANGE)</f>
        <v>Агентство по тарифам Приморского края</v>
      </c>
      <c r="AH27" s="2763"/>
      <c r="AI27" s="2763"/>
      <c r="AJ27" s="2763"/>
      <c r="AK27" s="2763"/>
      <c r="AL27" s="2763"/>
      <c r="AM27" s="2763"/>
      <c r="AN27" s="2763"/>
      <c r="AO27" s="2763"/>
      <c r="AP27" s="2763"/>
      <c r="AQ27" s="838"/>
      <c r="AR27" s="838"/>
      <c r="AS27" s="792"/>
      <c r="AT27" s="880"/>
      <c r="AU27" s="880"/>
      <c r="AV27" s="880"/>
      <c r="AW27" s="880"/>
      <c r="AX27" s="880"/>
      <c r="AY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2776"/>
      <c r="AC28" s="2776"/>
      <c r="AD28" s="2776"/>
      <c r="AE28" s="2776"/>
      <c r="AF28" s="838"/>
      <c r="AG28" s="2776" t="str">
        <f>IF(TITLE_DATE_PR_CHANGE="",IF(TITLE_DATE_PR="","",TITLE_DATE_PR),TITLE_DATE_PR_CHANGE)</f>
        <v>45631.710694444446</v>
      </c>
      <c r="AH28" s="2776"/>
      <c r="AI28" s="2776"/>
      <c r="AJ28" s="2776"/>
      <c r="AK28" s="2776"/>
      <c r="AL28" s="2776"/>
      <c r="AM28" s="2776"/>
      <c r="AN28" s="2776"/>
      <c r="AO28" s="2776"/>
      <c r="AP28" s="2776"/>
      <c r="AQ28" s="838"/>
      <c r="AR28" s="838"/>
      <c r="AS28" s="792"/>
      <c r="AT28" s="880"/>
      <c r="AU28" s="880"/>
      <c r="AV28" s="880"/>
      <c r="AW28" s="880"/>
      <c r="AX28" s="880"/>
      <c r="AY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2763"/>
      <c r="AC29" s="2763"/>
      <c r="AD29" s="2763"/>
      <c r="AE29" s="2763"/>
      <c r="AF29" s="838"/>
      <c r="AG29" s="2763" t="str">
        <f>IF(TITLE_NUMBER_PR_CHANGE="",IF(TITLE_NUMBER_PR="","",TITLE_NUMBER_PR),TITLE_NUMBER_PR_CHANGE)</f>
        <v>53/9</v>
      </c>
      <c r="AH29" s="2763"/>
      <c r="AI29" s="2763"/>
      <c r="AJ29" s="2763"/>
      <c r="AK29" s="2763"/>
      <c r="AL29" s="2763"/>
      <c r="AM29" s="2763"/>
      <c r="AN29" s="2763"/>
      <c r="AO29" s="2763"/>
      <c r="AP29" s="2763"/>
      <c r="AQ29" s="838"/>
      <c r="AR29" s="838"/>
      <c r="AS29" s="792"/>
      <c r="AT29" s="880"/>
      <c r="AU29" s="880"/>
      <c r="AV29" s="880"/>
      <c r="AW29" s="880"/>
      <c r="AX29" s="880"/>
      <c r="AY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2763"/>
      <c r="AC30" s="2763"/>
      <c r="AD30" s="2763"/>
      <c r="AE30" s="2763"/>
      <c r="AF30" s="838"/>
      <c r="AG30" s="2763" t="str">
        <f>IF(TITLE_IST_PUB_CHANGE="",IF(TITLE_IST_PUB="","",TITLE_IST_PUB),TITLE_IST_PUB_CHANGE)</f>
        <v>http://pravo.gov.ru</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2776"/>
      <c r="AC32" s="2776"/>
      <c r="AD32" s="2776"/>
      <c r="AE32" s="2776"/>
      <c r="AF32" s="838"/>
      <c r="AG32" s="2776" t="str">
        <f>IF(TITLE_DATE_PR_CHANGE="",IF(TITLE_DATE_PR="","",TITLE_DATE_PR),TITLE_DATE_PR_CHANGE)</f>
        <v>45631.710694444446</v>
      </c>
      <c r="AH32" s="2776"/>
      <c r="AI32" s="2776"/>
      <c r="AJ32" s="2776"/>
      <c r="AK32" s="2776"/>
      <c r="AL32" s="2776"/>
      <c r="AM32" s="2776"/>
      <c r="AN32" s="2776"/>
      <c r="AO32" s="2776"/>
      <c r="AP32" s="2776"/>
      <c r="AQ32" s="838"/>
      <c r="AR32" s="838"/>
      <c r="AS32" s="792"/>
      <c r="AT32" s="880"/>
      <c r="AU32" s="880"/>
      <c r="AV32" s="880"/>
      <c r="AW32" s="880"/>
      <c r="AX32" s="880"/>
      <c r="AY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2763"/>
      <c r="AC33" s="2763"/>
      <c r="AD33" s="2763"/>
      <c r="AE33" s="2763"/>
      <c r="AF33" s="838"/>
      <c r="AG33" s="2763" t="str">
        <f>IF(TITLE_NUMBER_PR_CHANGE="",IF(TITLE_NUMBER_PR="","",TITLE_NUMBER_PR),TITLE_NUMBER_PR_CHANGE)</f>
        <v>53/9</v>
      </c>
      <c r="AH33" s="2763"/>
      <c r="AI33" s="2763"/>
      <c r="AJ33" s="2763"/>
      <c r="AK33" s="2763"/>
      <c r="AL33" s="2763"/>
      <c r="AM33" s="2763"/>
      <c r="AN33" s="2763"/>
      <c r="AO33" s="2763"/>
      <c r="AP33" s="2763"/>
      <c r="AQ33" s="838"/>
      <c r="AR33" s="838"/>
      <c r="AS33" s="792"/>
      <c r="AT33" s="880"/>
      <c r="AU33" s="880"/>
      <c r="AV33" s="880"/>
      <c r="AW33" s="880"/>
      <c r="AX33" s="880"/>
      <c r="AY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2147"/>
      <c r="AC34" s="838"/>
      <c r="AD34" s="838"/>
      <c r="AE34" s="838"/>
      <c r="AF34" s="790" t="s">
        <v>564</v>
      </c>
      <c r="AG34" s="838"/>
      <c r="AH34" s="2147"/>
      <c r="AI34" s="2147"/>
      <c r="AJ34" s="2147"/>
      <c r="AK34" s="2147"/>
      <c r="AL34" s="2147"/>
      <c r="AM34" s="838"/>
      <c r="AN34" s="838"/>
      <c r="AO34" s="838"/>
      <c r="AP34" s="838"/>
      <c r="AQ34" s="790" t="s">
        <v>564</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440</v>
      </c>
      <c r="AY36" s="1667">
        <v>14</v>
      </c>
    </row>
    <row customHeight="1" ht="14.699999999999998">
      <c r="Q37" s="888"/>
      <c r="R37" s="888"/>
      <c r="S37" s="2785" t="s">
        <v>90</v>
      </c>
      <c r="T37" s="2721" t="s">
        <v>565</v>
      </c>
      <c r="U37" s="813"/>
      <c r="V37" s="2786" t="s">
        <v>566</v>
      </c>
      <c r="W37" s="2803"/>
      <c r="X37" s="2803"/>
      <c r="Y37" s="2803"/>
      <c r="Z37" s="2803"/>
      <c r="AA37" s="2803"/>
      <c r="AB37" s="2803"/>
      <c r="AC37" s="2787"/>
      <c r="AD37" s="2787"/>
      <c r="AE37" s="2788"/>
      <c r="AF37" s="2789" t="s">
        <v>567</v>
      </c>
      <c r="AG37" s="2786" t="s">
        <v>566</v>
      </c>
      <c r="AH37" s="2787"/>
      <c r="AI37" s="2787"/>
      <c r="AJ37" s="2787"/>
      <c r="AK37" s="2787"/>
      <c r="AL37" s="2787"/>
      <c r="AM37" s="2787"/>
      <c r="AN37" s="2787"/>
      <c r="AO37" s="2787"/>
      <c r="AP37" s="2788"/>
      <c r="AQ37" s="2789" t="s">
        <v>568</v>
      </c>
      <c r="AR37" s="2792" t="s">
        <v>569</v>
      </c>
      <c r="AS37" s="2639"/>
      <c r="AY37" s="1667">
        <v>14</v>
      </c>
    </row>
    <row customHeight="1" ht="19.95">
      <c r="Q38" s="888"/>
      <c r="R38" s="888"/>
      <c r="S38" s="2785"/>
      <c r="T38" s="2721"/>
      <c r="U38" s="1543"/>
      <c r="V38" s="2878" t="s">
        <v>670</v>
      </c>
      <c r="W38" s="2877" t="s">
        <v>671</v>
      </c>
      <c r="X38" s="2877"/>
      <c r="Y38" s="2877"/>
      <c r="Z38" s="2877" t="s">
        <v>672</v>
      </c>
      <c r="AA38" s="2877"/>
      <c r="AB38" s="2877"/>
      <c r="AC38" s="2806" t="s">
        <v>573</v>
      </c>
      <c r="AD38" s="2825"/>
      <c r="AE38" s="2826"/>
      <c r="AF38" s="2790"/>
      <c r="AG38" s="2878" t="s">
        <v>670</v>
      </c>
      <c r="AH38" s="2877" t="s">
        <v>671</v>
      </c>
      <c r="AI38" s="2877"/>
      <c r="AJ38" s="2877"/>
      <c r="AK38" s="2877" t="s">
        <v>672</v>
      </c>
      <c r="AL38" s="2877"/>
      <c r="AM38" s="2877"/>
      <c r="AN38" s="2806" t="s">
        <v>573</v>
      </c>
      <c r="AO38" s="2825"/>
      <c r="AP38" s="2826"/>
      <c r="AQ38" s="2790"/>
      <c r="AR38" s="2793"/>
      <c r="AS38" s="2639"/>
      <c r="AY38" s="1667">
        <v>19</v>
      </c>
    </row>
    <row s="50801" customFormat="1" customHeight="1" ht="19.95">
      <c r="A39" s="1878"/>
      <c r="B39" s="1878"/>
      <c r="C39" s="1878"/>
      <c r="D39" s="1878"/>
      <c r="E39" s="1878"/>
      <c r="F39" s="1878"/>
      <c r="G39" s="1878"/>
      <c r="H39" s="1878"/>
      <c r="I39" s="1878"/>
      <c r="J39" s="1878"/>
      <c r="K39" s="1878"/>
      <c r="L39" s="2463"/>
      <c r="M39" s="1874"/>
      <c r="N39" s="1874"/>
      <c r="O39" s="1874"/>
      <c r="P39" s="2477"/>
      <c r="Q39" s="888"/>
      <c r="R39" s="888"/>
      <c r="S39" s="2785"/>
      <c r="T39" s="2721"/>
      <c r="U39" s="1543"/>
      <c r="V39" s="2878"/>
      <c r="W39" s="2877" t="s">
        <v>673</v>
      </c>
      <c r="X39" s="2877" t="s">
        <v>674</v>
      </c>
      <c r="Y39" s="2877"/>
      <c r="Z39" s="2877" t="s">
        <v>675</v>
      </c>
      <c r="AA39" s="2877" t="s">
        <v>674</v>
      </c>
      <c r="AB39" s="2877"/>
      <c r="AC39" s="2807"/>
      <c r="AD39" s="2827"/>
      <c r="AE39" s="2828"/>
      <c r="AF39" s="2790"/>
      <c r="AG39" s="2878"/>
      <c r="AH39" s="2877" t="s">
        <v>673</v>
      </c>
      <c r="AI39" s="2877" t="s">
        <v>674</v>
      </c>
      <c r="AJ39" s="2877"/>
      <c r="AK39" s="2877" t="s">
        <v>675</v>
      </c>
      <c r="AL39" s="2877" t="s">
        <v>674</v>
      </c>
      <c r="AM39" s="2877"/>
      <c r="AN39" s="2807"/>
      <c r="AO39" s="2827"/>
      <c r="AP39" s="2828"/>
      <c r="AQ39" s="2790"/>
      <c r="AR39" s="2793"/>
      <c r="AS39" s="2639"/>
      <c r="AT39" s="2148"/>
      <c r="AU39" s="2148"/>
      <c r="AV39" s="2148"/>
      <c r="AW39" s="2148"/>
      <c r="AX39" s="2148"/>
      <c r="AY39" s="2143">
        <v>19</v>
      </c>
    </row>
    <row customHeight="1" ht="61.949999999999996">
      <c r="A40" s="1882"/>
      <c r="B40" s="1882" t="s">
        <v>201</v>
      </c>
      <c r="C40" s="1882" t="s">
        <v>202</v>
      </c>
      <c r="D40" s="1882" t="s">
        <v>203</v>
      </c>
      <c r="E40" s="1876" t="s">
        <v>574</v>
      </c>
      <c r="F40" s="1876" t="s">
        <v>575</v>
      </c>
      <c r="G40" s="1876" t="s">
        <v>576</v>
      </c>
      <c r="H40" s="1876"/>
      <c r="I40" s="1876" t="s">
        <v>626</v>
      </c>
      <c r="J40" s="1876" t="s">
        <v>579</v>
      </c>
      <c r="K40" s="1876" t="s">
        <v>627</v>
      </c>
      <c r="L40" s="1876" t="s">
        <v>555</v>
      </c>
      <c r="Q40" s="888"/>
      <c r="R40" s="888"/>
      <c r="S40" s="2785"/>
      <c r="T40" s="2721"/>
      <c r="U40" s="814"/>
      <c r="V40" s="2878"/>
      <c r="W40" s="2877"/>
      <c r="X40" s="2495" t="s">
        <v>676</v>
      </c>
      <c r="Y40" s="2495" t="s">
        <v>677</v>
      </c>
      <c r="Z40" s="2877"/>
      <c r="AA40" s="2495" t="s">
        <v>678</v>
      </c>
      <c r="AB40" s="2495" t="s">
        <v>679</v>
      </c>
      <c r="AC40" s="2001" t="s">
        <v>583</v>
      </c>
      <c r="AD40" s="2782" t="s">
        <v>584</v>
      </c>
      <c r="AE40" s="2783"/>
      <c r="AF40" s="2791"/>
      <c r="AG40" s="2878"/>
      <c r="AH40" s="2877"/>
      <c r="AI40" s="2495" t="s">
        <v>676</v>
      </c>
      <c r="AJ40" s="2495" t="s">
        <v>677</v>
      </c>
      <c r="AK40" s="2877"/>
      <c r="AL40" s="2495" t="s">
        <v>678</v>
      </c>
      <c r="AM40" s="2495" t="s">
        <v>679</v>
      </c>
      <c r="AN40" s="2001" t="s">
        <v>583</v>
      </c>
      <c r="AO40" s="2782" t="s">
        <v>584</v>
      </c>
      <c r="AP40" s="2783"/>
      <c r="AQ40" s="2791"/>
      <c r="AR40" s="2794"/>
      <c r="AS40" s="2639"/>
      <c r="AY40" s="1667">
        <v>59</v>
      </c>
    </row>
    <row s="51564"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101</v>
      </c>
      <c r="T41" s="1767" t="s">
        <v>105</v>
      </c>
      <c r="U41" s="1757" t="str">
        <f>OFFSET(U41,0,-1)</f>
        <v>2</v>
      </c>
      <c r="V41" s="1994">
        <f>OFFSET(V41,0,-1)+1</f>
        <v>3</v>
      </c>
      <c r="W41" s="1853"/>
      <c r="X41" s="1853"/>
      <c r="Y41" s="1853"/>
      <c r="Z41" s="1853"/>
      <c r="AA41" s="1853"/>
      <c r="AB41" s="1853"/>
      <c r="AC41" s="1994">
        <f>OFFSET(AC41,0,-1)+1</f>
        <v>1</v>
      </c>
      <c r="AD41" s="2784">
        <f>OFFSET(AD41,0,-1)+1</f>
        <v>2</v>
      </c>
      <c r="AE41" s="2784"/>
      <c r="AF41" s="1994">
        <f>OFFSET(AF41,0,-2)+1</f>
        <v>3</v>
      </c>
      <c r="AG41" s="1994">
        <f>OFFSET(AG41,0,-1)+1</f>
        <v>4</v>
      </c>
      <c r="AH41" s="2468"/>
      <c r="AI41" s="2468"/>
      <c r="AJ41" s="2468"/>
      <c r="AK41" s="2468"/>
      <c r="AL41" s="2468"/>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390</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189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390</v>
      </c>
      <c r="B43" s="1875" t="s">
        <v>391</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536</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537</v>
      </c>
      <c r="AU43" s="1012"/>
      <c r="AV43" s="1012" t="str">
        <f>IF(T43="","",T43)</f>
        <v>Территория действия тарифа</v>
      </c>
      <c r="AW43" s="1012"/>
      <c r="AX43" s="1012"/>
      <c r="AY43" s="1667">
        <v>23</v>
      </c>
    </row>
    <row customHeight="1" ht="24">
      <c r="A44" s="1875" t="s">
        <v>390</v>
      </c>
      <c r="B44" s="1875" t="s">
        <v>391</v>
      </c>
      <c r="C44" s="1875" t="s">
        <v>392</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668</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669</v>
      </c>
      <c r="AU44" s="1012"/>
      <c r="AV44" s="1012" t="str">
        <f>IF(T44="","",T44)</f>
        <v>Наименование централизованной системы горячего водоснабжения</v>
      </c>
      <c r="AW44" s="1012"/>
      <c r="AX44" s="1012"/>
      <c r="AY44" s="1667">
        <v>23</v>
      </c>
    </row>
    <row customHeight="1" ht="24">
      <c r="A45" s="1875" t="s">
        <v>390</v>
      </c>
      <c r="B45" s="1875" t="s">
        <v>391</v>
      </c>
      <c r="C45" s="1875" t="s">
        <v>392</v>
      </c>
      <c r="D45" s="1875" t="s">
        <v>680</v>
      </c>
      <c r="E45" s="2771"/>
      <c r="F45" s="2771"/>
      <c r="G45" s="2771"/>
      <c r="H45" s="2771"/>
      <c r="I45" s="2768" t="str">
        <f>S44&amp;".1"</f>
        <v>...1</v>
      </c>
      <c r="J45" s="1875"/>
      <c r="K45" s="1875"/>
      <c r="L45" s="1876"/>
      <c r="P45" s="2769">
        <v>1</v>
      </c>
      <c r="Q45" s="1993"/>
      <c r="R45" s="868"/>
      <c r="S45" s="2005" t="str">
        <f>$I45</f>
        <v>...1</v>
      </c>
      <c r="T45" s="797" t="s">
        <v>619</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620</v>
      </c>
      <c r="AU45" s="1012"/>
      <c r="AV45" s="1012" t="str">
        <f>IF(T45="","",T45)</f>
        <v>Наименование признака дифференциации</v>
      </c>
      <c r="AW45" s="1012"/>
      <c r="AX45" s="1012"/>
      <c r="AY45" s="1667">
        <v>23</v>
      </c>
    </row>
    <row customHeight="1" ht="24">
      <c r="A46" s="1875" t="s">
        <v>390</v>
      </c>
      <c r="B46" s="1875" t="s">
        <v>391</v>
      </c>
      <c r="C46" s="1875" t="s">
        <v>392</v>
      </c>
      <c r="D46" s="1875" t="s">
        <v>680</v>
      </c>
      <c r="E46" s="2771"/>
      <c r="F46" s="2771"/>
      <c r="G46" s="2771"/>
      <c r="H46" s="2771"/>
      <c r="I46" s="2798"/>
      <c r="J46" s="2768" t="str">
        <f>I45&amp;".1"</f>
        <v>...1.1</v>
      </c>
      <c r="K46" s="1875"/>
      <c r="L46" s="1876" t="s">
        <v>545</v>
      </c>
      <c r="P46" s="2769"/>
      <c r="Q46" s="2769">
        <v>1</v>
      </c>
      <c r="R46" s="869"/>
      <c r="S46" s="2005" t="str">
        <f>$J46</f>
        <v>...1.1</v>
      </c>
      <c r="T46" s="798" t="s">
        <v>546</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621</v>
      </c>
      <c r="AU46" s="1012"/>
      <c r="AV46" s="1012" t="str">
        <f>IF(T46="","",T46)</f>
        <v>Группа потребителей</v>
      </c>
      <c r="AW46" s="1012"/>
      <c r="AX46" s="1012"/>
      <c r="AY46" s="1667">
        <v>23</v>
      </c>
    </row>
    <row customHeight="1" ht="24">
      <c r="A47" s="1875" t="s">
        <v>390</v>
      </c>
      <c r="B47" s="1875" t="s">
        <v>391</v>
      </c>
      <c r="C47" s="1875" t="s">
        <v>392</v>
      </c>
      <c r="D47" s="1875" t="s">
        <v>680</v>
      </c>
      <c r="E47" s="2771"/>
      <c r="F47" s="2771"/>
      <c r="G47" s="2771"/>
      <c r="H47" s="2771"/>
      <c r="I47" s="2798"/>
      <c r="J47" s="2798"/>
      <c r="K47" s="2768" t="str">
        <f>J46&amp;".1"</f>
        <v>...1.1.1</v>
      </c>
      <c r="L47" s="1876"/>
      <c r="P47" s="2769"/>
      <c r="Q47" s="2769"/>
      <c r="R47" s="869">
        <v>1</v>
      </c>
      <c r="S47" s="2005" t="str">
        <f>$K47</f>
        <v>...1.1.1</v>
      </c>
      <c r="T47" s="1949"/>
      <c r="U47" s="812"/>
      <c r="V47" s="1263"/>
      <c r="W47" s="1263"/>
      <c r="X47" s="1263"/>
      <c r="Y47" s="1263"/>
      <c r="Z47" s="1263"/>
      <c r="AA47" s="1263"/>
      <c r="AB47" s="1263"/>
      <c r="AC47" s="2779"/>
      <c r="AD47" s="2780" t="s">
        <v>63</v>
      </c>
      <c r="AE47" s="2779"/>
      <c r="AF47" s="2780" t="s">
        <v>63</v>
      </c>
      <c r="AG47" s="1263"/>
      <c r="AH47" s="1263"/>
      <c r="AI47" s="1263"/>
      <c r="AJ47" s="1263"/>
      <c r="AK47" s="1263"/>
      <c r="AL47" s="1263"/>
      <c r="AM47" s="1263"/>
      <c r="AN47" s="2777"/>
      <c r="AO47" s="2619" t="s">
        <v>63</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390</v>
      </c>
      <c r="B48" s="1875" t="s">
        <v>391</v>
      </c>
      <c r="C48" s="1875" t="s">
        <v>392</v>
      </c>
      <c r="D48" s="1875" t="s">
        <v>680</v>
      </c>
      <c r="E48" s="2771"/>
      <c r="F48" s="2771"/>
      <c r="G48" s="2771"/>
      <c r="H48" s="2771"/>
      <c r="I48" s="2798"/>
      <c r="J48" s="2798"/>
      <c r="K48" s="2768"/>
      <c r="L48" s="1876"/>
      <c r="P48" s="2769"/>
      <c r="Q48" s="2769"/>
      <c r="R48" s="869"/>
      <c r="S48" s="2002"/>
      <c r="T48" s="812"/>
      <c r="U48" s="812"/>
      <c r="V48" s="1872"/>
      <c r="W48" s="1872"/>
      <c r="X48" s="1872"/>
      <c r="Y48" s="1872"/>
      <c r="Z48" s="1872"/>
      <c r="AA48" s="1872"/>
      <c r="AB48" s="1872"/>
      <c r="AC48" s="2780"/>
      <c r="AD48" s="2780"/>
      <c r="AE48" s="2780"/>
      <c r="AF48" s="2780"/>
      <c r="AG48" s="837"/>
      <c r="AH48" s="837"/>
      <c r="AI48" s="837"/>
      <c r="AJ48" s="837"/>
      <c r="AK48" s="837"/>
      <c r="AL48" s="837"/>
      <c r="AM48" s="837"/>
      <c r="AN48" s="2778"/>
      <c r="AO48" s="2619"/>
      <c r="AP48" s="2800"/>
      <c r="AQ48" s="2619"/>
      <c r="AR48" s="1951"/>
      <c r="AS48" s="2861"/>
      <c r="AU48" s="1012"/>
      <c r="AV48" s="1012" t="str">
        <f>IF(T48="","",T48)</f>
        <v/>
      </c>
      <c r="AW48" s="1012"/>
      <c r="AX48" s="1012"/>
      <c r="AY48" s="1667">
        <v>0</v>
      </c>
    </row>
    <row customHeight="1" ht="21">
      <c r="A49" s="1875" t="s">
        <v>390</v>
      </c>
      <c r="B49" s="1875" t="s">
        <v>391</v>
      </c>
      <c r="C49" s="1875" t="s">
        <v>392</v>
      </c>
      <c r="D49" s="1875" t="s">
        <v>680</v>
      </c>
      <c r="E49" s="2771"/>
      <c r="F49" s="2771"/>
      <c r="G49" s="2771"/>
      <c r="H49" s="2771"/>
      <c r="I49" s="2798"/>
      <c r="J49" s="2768"/>
      <c r="K49" s="1875"/>
      <c r="L49" s="1876"/>
      <c r="P49" s="2769"/>
      <c r="Q49" s="2769"/>
      <c r="R49" s="868"/>
      <c r="S49" s="1790"/>
      <c r="T49" s="799" t="s">
        <v>622</v>
      </c>
      <c r="U49" s="879"/>
      <c r="V49" s="879"/>
      <c r="W49" s="1112"/>
      <c r="X49" s="1112"/>
      <c r="Y49" s="1112"/>
      <c r="Z49" s="1112"/>
      <c r="AA49" s="1112"/>
      <c r="AB49" s="1112"/>
      <c r="AC49" s="879"/>
      <c r="AD49" s="879"/>
      <c r="AE49" s="879"/>
      <c r="AF49" s="879"/>
      <c r="AG49" s="879"/>
      <c r="AH49" s="1112"/>
      <c r="AI49" s="1112"/>
      <c r="AJ49" s="1112"/>
      <c r="AK49" s="1112"/>
      <c r="AL49" s="1112"/>
      <c r="AM49" s="879"/>
      <c r="AN49" s="879"/>
      <c r="AO49" s="879"/>
      <c r="AP49" s="879"/>
      <c r="AQ49" s="879"/>
      <c r="AR49" s="879"/>
      <c r="AS49" s="1770" t="s">
        <v>623</v>
      </c>
      <c r="AU49" s="1012"/>
      <c r="AV49" s="1012" t="str">
        <f>IF(T49="","",T49)</f>
        <v>Добавить значение признака дифференциации</v>
      </c>
      <c r="AW49" s="1012"/>
      <c r="AX49" s="1012"/>
      <c r="AY49" s="1667">
        <v>20</v>
      </c>
    </row>
    <row customHeight="1" ht="22.049999999999997">
      <c r="A50" s="1875" t="s">
        <v>390</v>
      </c>
      <c r="B50" s="1875" t="s">
        <v>391</v>
      </c>
      <c r="C50" s="1875" t="s">
        <v>392</v>
      </c>
      <c r="D50" s="1875" t="s">
        <v>680</v>
      </c>
      <c r="E50" s="2771"/>
      <c r="F50" s="2771"/>
      <c r="G50" s="2771"/>
      <c r="H50" s="2771"/>
      <c r="I50" s="2768"/>
      <c r="J50" s="1875"/>
      <c r="K50" s="1875"/>
      <c r="L50" s="1876"/>
      <c r="P50" s="2769"/>
      <c r="Q50" s="1993"/>
      <c r="R50" s="868"/>
      <c r="S50" s="1790"/>
      <c r="T50" s="877" t="s">
        <v>551</v>
      </c>
      <c r="U50" s="879"/>
      <c r="V50" s="879"/>
      <c r="W50" s="1112"/>
      <c r="X50" s="1112"/>
      <c r="Y50" s="1112"/>
      <c r="Z50" s="1112"/>
      <c r="AA50" s="1112"/>
      <c r="AB50" s="1112"/>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390</v>
      </c>
      <c r="B51" s="1875" t="s">
        <v>391</v>
      </c>
      <c r="C51" s="1875" t="s">
        <v>392</v>
      </c>
      <c r="D51" s="1875" t="s">
        <v>680</v>
      </c>
      <c r="E51" s="2771"/>
      <c r="F51" s="2771"/>
      <c r="G51" s="2771"/>
      <c r="H51" s="2770"/>
      <c r="I51" s="1875"/>
      <c r="J51" s="1875"/>
      <c r="K51" s="1875"/>
      <c r="L51" s="1876"/>
      <c r="M51" s="1877"/>
      <c r="N51" s="1877"/>
      <c r="O51" s="1049"/>
      <c r="P51" s="872"/>
      <c r="Q51" s="887"/>
      <c r="R51" s="867"/>
      <c r="S51" s="1790"/>
      <c r="T51" s="884" t="s">
        <v>624</v>
      </c>
      <c r="U51" s="879"/>
      <c r="V51" s="879"/>
      <c r="W51" s="1112"/>
      <c r="X51" s="1112"/>
      <c r="Y51" s="1112"/>
      <c r="Z51" s="1112"/>
      <c r="AA51" s="1112"/>
      <c r="AB51" s="1112"/>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50882" customFormat="1" customHeight="1" ht="0">
      <c r="A52" s="1855" t="s">
        <v>390</v>
      </c>
      <c r="B52" s="1855" t="s">
        <v>391</v>
      </c>
      <c r="C52" s="1826"/>
      <c r="D52" s="1826"/>
      <c r="E52" s="2771"/>
      <c r="F52" s="2770"/>
      <c r="G52" s="1826"/>
      <c r="H52" s="1826"/>
      <c r="I52" s="1826"/>
      <c r="J52" s="1826"/>
      <c r="K52" s="1826"/>
      <c r="L52" s="2006"/>
      <c r="M52" s="1833"/>
      <c r="N52" s="1833"/>
      <c r="P52" s="1828"/>
      <c r="Q52" s="1829"/>
      <c r="R52" s="1828"/>
      <c r="S52" s="1834"/>
      <c r="T52" s="1837" t="s">
        <v>290</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50882" customFormat="1" customHeight="1" ht="0">
      <c r="A53" s="1855" t="s">
        <v>390</v>
      </c>
      <c r="B53" s="1855"/>
      <c r="C53" s="1855"/>
      <c r="D53" s="1855"/>
      <c r="E53" s="2770"/>
      <c r="F53" s="1855"/>
      <c r="G53" s="1855"/>
      <c r="H53" s="1855"/>
      <c r="I53" s="1855"/>
      <c r="J53" s="1855"/>
      <c r="K53" s="1855"/>
      <c r="L53" s="1858"/>
      <c r="M53" s="1833"/>
      <c r="N53" s="1833"/>
      <c r="O53" s="1030"/>
      <c r="P53" s="892"/>
      <c r="Q53" s="1856"/>
      <c r="R53" s="892"/>
      <c r="S53" s="1834"/>
      <c r="T53" s="1837" t="s">
        <v>365</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50882"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366</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84</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2143">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021063-7883-5EAA-1F92-CA4189DBBAD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4.140625" hidden="1" customWidth="1"/>
    <col min="10" max="10" style="50881" width="9.8515625" hidden="1" customWidth="1"/>
    <col min="11" max="11" style="50881" width="14.7109375" hidden="1" customWidth="1"/>
    <col min="12" max="12" style="51806" width="19.140625" hidden="1" customWidth="1"/>
    <col min="13" max="14" style="51807" width="12.28125" hidden="1" customWidth="1"/>
    <col min="15" max="15" style="51807" width="23.421875" hidden="1" customWidth="1"/>
    <col min="16" max="16" style="51808" width="3.00390625" customWidth="1"/>
    <col min="17" max="18" style="51809" width="3.00390625" customWidth="1"/>
    <col min="19" max="19" style="51810" width="12.00390625" customWidth="1"/>
    <col min="20" max="20" style="50801" width="35.00390625" customWidth="1"/>
    <col min="21" max="21" style="50801" width="0.140625" customWidth="1"/>
    <col min="22" max="28" style="50801" width="19.7109375" hidden="1" customWidth="1"/>
    <col min="29" max="29" style="50801" width="11.7109375" hidden="1" customWidth="1"/>
    <col min="30" max="30" style="50801" width="3.7109375" hidden="1" customWidth="1"/>
    <col min="31" max="31" style="50801" width="11.7109375" hidden="1" customWidth="1"/>
    <col min="32" max="32" style="50801" width="8.57421875" hidden="1" customWidth="1"/>
    <col min="33" max="33" style="50801" width="19.7109375" customWidth="1"/>
    <col min="34" max="39" style="50801" width="19.00390625" customWidth="1"/>
    <col min="40" max="40" style="50801" width="11.00390625" customWidth="1"/>
    <col min="41" max="41" style="50801" width="3.7109375" customWidth="1"/>
    <col min="42" max="42" style="50801" width="11.00390625" customWidth="1"/>
    <col min="43" max="43" style="50801" width="8.57421875" hidden="1" customWidth="1"/>
    <col min="44" max="44" style="50801" width="4.00390625" customWidth="1"/>
    <col min="45" max="45" style="50801" width="115.00390625" customWidth="1"/>
    <col min="46" max="50" style="50882" width="10.00390625" customWidth="1"/>
    <col min="51" max="51" style="50801" width="10.57421875" hidden="1"/>
  </cols>
  <sheetData>
    <row customHeight="1" ht="22.5" hidden="1">
      <c r="AB1" s="839"/>
      <c r="AC1" s="839"/>
      <c r="AM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189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536</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537</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668</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669</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619</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620</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545</v>
      </c>
      <c r="P6" s="2769"/>
      <c r="Q6" s="2769">
        <v>1</v>
      </c>
      <c r="R6" s="869"/>
      <c r="S6" s="2005">
        <f>$J6</f>
      </c>
      <c r="T6" s="798" t="s">
        <v>546</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621</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769"/>
      <c r="AC7" s="2777"/>
      <c r="AD7" s="2619" t="s">
        <v>63</v>
      </c>
      <c r="AE7" s="2777"/>
      <c r="AF7" s="2619" t="s">
        <v>63</v>
      </c>
      <c r="AG7" s="1263"/>
      <c r="AH7" s="1263"/>
      <c r="AI7" s="1263"/>
      <c r="AJ7" s="1263"/>
      <c r="AK7" s="1263"/>
      <c r="AL7" s="1263"/>
      <c r="AM7" s="1769"/>
      <c r="AN7" s="2777"/>
      <c r="AO7" s="2619" t="s">
        <v>63</v>
      </c>
      <c r="AP7" s="2799"/>
      <c r="AQ7" s="2619" t="s">
        <v>63</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40" t="str">
        <f>AC7&amp;"-"&amp;AE7</f>
        <v>-</v>
      </c>
      <c r="AC8" s="2778"/>
      <c r="AD8" s="2619"/>
      <c r="AE8" s="2778"/>
      <c r="AF8" s="2619"/>
      <c r="AG8" s="837"/>
      <c r="AH8" s="837"/>
      <c r="AI8" s="837"/>
      <c r="AJ8" s="837"/>
      <c r="AK8" s="837"/>
      <c r="AL8" s="837"/>
      <c r="AM8" s="840" t="str">
        <f>AN7&amp;"-"&amp;AP7</f>
        <v>-</v>
      </c>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622</v>
      </c>
      <c r="U9" s="879"/>
      <c r="V9" s="879"/>
      <c r="W9" s="1112"/>
      <c r="X9" s="1112"/>
      <c r="Y9" s="1112"/>
      <c r="Z9" s="1112"/>
      <c r="AA9" s="1112"/>
      <c r="AB9" s="879"/>
      <c r="AC9" s="879"/>
      <c r="AD9" s="879"/>
      <c r="AE9" s="879"/>
      <c r="AF9" s="879"/>
      <c r="AG9" s="879"/>
      <c r="AH9" s="1112"/>
      <c r="AI9" s="1112"/>
      <c r="AJ9" s="1112"/>
      <c r="AK9" s="1112"/>
      <c r="AL9" s="1112"/>
      <c r="AM9" s="879"/>
      <c r="AN9" s="879"/>
      <c r="AO9" s="879"/>
      <c r="AP9" s="879"/>
      <c r="AQ9" s="879"/>
      <c r="AR9" s="879"/>
      <c r="AS9" s="1770" t="s">
        <v>623</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551</v>
      </c>
      <c r="U10" s="879"/>
      <c r="V10" s="879"/>
      <c r="W10" s="1112"/>
      <c r="X10" s="1112"/>
      <c r="Y10" s="1112"/>
      <c r="Z10" s="1112"/>
      <c r="AA10" s="1112"/>
      <c r="AB10" s="879"/>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624</v>
      </c>
      <c r="U11" s="879"/>
      <c r="V11" s="879"/>
      <c r="W11" s="1112"/>
      <c r="X11" s="1112"/>
      <c r="Y11" s="1112"/>
      <c r="Z11" s="1112"/>
      <c r="AA11" s="1112"/>
      <c r="AB11" s="879"/>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50882"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290</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50882"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365</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3"/>
      <c r="AN15" s="2779"/>
      <c r="AO15" s="2780" t="s">
        <v>63</v>
      </c>
      <c r="AP15" s="2779"/>
      <c r="AQ15" s="2780" t="s">
        <v>63</v>
      </c>
      <c r="AY15" s="1667">
        <v>0</v>
      </c>
    </row>
    <row customHeight="1" ht="14.25" hidden="1">
      <c r="AG16" s="1872"/>
      <c r="AH16" s="1872"/>
      <c r="AI16" s="1872"/>
      <c r="AJ16" s="1872"/>
      <c r="AK16" s="1872"/>
      <c r="AL16" s="1872"/>
      <c r="AM16" s="840" t="str">
        <f>AN15&amp;"-"&amp;AP15</f>
        <v>-</v>
      </c>
      <c r="AN16" s="2780"/>
      <c r="AO16" s="2780"/>
      <c r="AP16" s="2780"/>
      <c r="AQ16" s="2780"/>
      <c r="AY16" s="1667">
        <v>0</v>
      </c>
    </row>
    <row customHeight="1" ht="14.25" hidden="1">
      <c r="AQ17" s="839"/>
      <c r="AY17" s="1667">
        <v>0</v>
      </c>
    </row>
    <row s="50881" customFormat="1" customHeight="1" ht="22.5" hidden="1">
      <c r="L18" s="1990"/>
      <c r="M18" s="1874"/>
      <c r="N18" s="1874"/>
      <c r="O18" s="1879" t="s">
        <v>554</v>
      </c>
      <c r="P18" s="1874"/>
      <c r="Q18" s="1883"/>
      <c r="R18" s="1883"/>
      <c r="S18" s="1241"/>
      <c r="W18" s="1878"/>
      <c r="X18" s="1878"/>
      <c r="Y18" s="1878"/>
      <c r="Z18" s="1878"/>
      <c r="AA18" s="1878"/>
      <c r="AC18" s="1879"/>
      <c r="AE18" s="1879"/>
      <c r="AF18" s="1878"/>
      <c r="AH18" s="1878"/>
      <c r="AI18" s="1878"/>
      <c r="AJ18" s="1878"/>
      <c r="AK18" s="1878"/>
      <c r="AL18" s="1878"/>
      <c r="AN18" s="1879"/>
      <c r="AP18" s="1879"/>
      <c r="AQ18" s="1878"/>
      <c r="AT18" s="1023"/>
      <c r="AU18" s="1023"/>
      <c r="AV18" s="1023"/>
      <c r="AW18" s="1023"/>
      <c r="AX18" s="1023"/>
      <c r="AY18" s="1672">
        <v>0</v>
      </c>
    </row>
    <row s="50881" customFormat="1" customHeight="1" ht="14.25" hidden="1">
      <c r="L19" s="1990"/>
      <c r="M19" s="1874"/>
      <c r="N19" s="1874"/>
      <c r="O19" s="1874"/>
      <c r="P19" s="1874"/>
      <c r="Q19" s="1883"/>
      <c r="R19" s="1883"/>
      <c r="S19" s="1241"/>
      <c r="W19" s="1878"/>
      <c r="X19" s="1878"/>
      <c r="Y19" s="1878"/>
      <c r="Z19" s="1878"/>
      <c r="AA19" s="1878"/>
      <c r="AF19" s="1878"/>
      <c r="AH19" s="1878"/>
      <c r="AI19" s="1878"/>
      <c r="AJ19" s="1878"/>
      <c r="AK19" s="1878"/>
      <c r="AL19" s="1878"/>
      <c r="AQ19" s="1878"/>
      <c r="AT19" s="1023"/>
      <c r="AU19" s="1023"/>
      <c r="AV19" s="1023"/>
      <c r="AW19" s="1023"/>
      <c r="AX19" s="1023"/>
      <c r="AY19" s="1672">
        <v>0</v>
      </c>
    </row>
    <row s="50881" customFormat="1" customHeight="1" ht="12" hidden="1">
      <c r="L20" s="1990"/>
      <c r="M20" s="1874"/>
      <c r="N20" s="1874"/>
      <c r="O20" s="1876" t="s">
        <v>555</v>
      </c>
      <c r="P20" s="1874"/>
      <c r="Q20" s="1954"/>
      <c r="R20" s="1954"/>
      <c r="S20" s="1241"/>
      <c r="T20" s="1672" t="s">
        <v>556</v>
      </c>
      <c r="W20" s="1878"/>
      <c r="X20" s="1878"/>
      <c r="Y20" s="1878"/>
      <c r="Z20" s="1878"/>
      <c r="AA20" s="1878"/>
      <c r="AD20" s="698" t="s">
        <v>557</v>
      </c>
      <c r="AF20" s="698" t="s">
        <v>558</v>
      </c>
      <c r="AG20" s="1672" t="s">
        <v>556</v>
      </c>
      <c r="AH20" s="1878"/>
      <c r="AI20" s="1878"/>
      <c r="AJ20" s="1878"/>
      <c r="AK20" s="1878"/>
      <c r="AL20" s="1878"/>
      <c r="AO20" s="698" t="s">
        <v>559</v>
      </c>
      <c r="AQ20" s="698" t="s">
        <v>558</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1021"/>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51018"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2763"/>
      <c r="AC27" s="2763"/>
      <c r="AD27" s="2763"/>
      <c r="AE27" s="2763"/>
      <c r="AF27" s="838"/>
      <c r="AG27" s="2763" t="str">
        <f>IF(TITLE_NAME_OR_PR_CHANGE="",IF(TITLE_NAME_OR_PR="","",TITLE_NAME_OR_PR),TITLE_NAME_OR_PR_CHANGE)</f>
        <v>Агентство по тарифам Приморского края</v>
      </c>
      <c r="AH27" s="2763"/>
      <c r="AI27" s="2763"/>
      <c r="AJ27" s="2763"/>
      <c r="AK27" s="2763"/>
      <c r="AL27" s="2763"/>
      <c r="AM27" s="2763"/>
      <c r="AN27" s="2763"/>
      <c r="AO27" s="2763"/>
      <c r="AP27" s="2763"/>
      <c r="AQ27" s="838"/>
      <c r="AR27" s="838"/>
      <c r="AS27" s="792"/>
      <c r="AT27" s="880"/>
      <c r="AU27" s="880"/>
      <c r="AV27" s="880"/>
      <c r="AW27" s="880"/>
      <c r="AX27" s="880"/>
      <c r="AY27" s="930">
        <v>0</v>
      </c>
    </row>
    <row s="51018" customFormat="1" customHeight="1" ht="18.75">
      <c r="A28" s="1880"/>
      <c r="B28" s="1880"/>
      <c r="C28" s="1880"/>
      <c r="D28" s="1880"/>
      <c r="E28" s="1880"/>
      <c r="F28" s="1880"/>
      <c r="G28" s="1880"/>
      <c r="H28" s="1880"/>
      <c r="I28" s="1880"/>
      <c r="J28" s="1880"/>
      <c r="K28" s="1880"/>
      <c r="L28" s="1881"/>
      <c r="M28" s="1880"/>
      <c r="N28" s="1880"/>
      <c r="O28" s="1880"/>
      <c r="S28" s="2762" t="s">
        <v>560</v>
      </c>
      <c r="T28" s="2762"/>
      <c r="U28" s="1884"/>
      <c r="V28" s="2776" t="str">
        <f>IF(TITLE_DATE_PR_CHANGE="",IF(TITLE_DATE_PR="","",TITLE_DATE_PR),TITLE_DATE_PR_CHANGE)</f>
        <v>45631.710694444446</v>
      </c>
      <c r="W28" s="2776"/>
      <c r="X28" s="2776"/>
      <c r="Y28" s="2776"/>
      <c r="Z28" s="2776"/>
      <c r="AA28" s="2776"/>
      <c r="AB28" s="2776"/>
      <c r="AC28" s="2776"/>
      <c r="AD28" s="2776"/>
      <c r="AE28" s="2776"/>
      <c r="AF28" s="838"/>
      <c r="AG28" s="2776" t="str">
        <f>IF(TITLE_DATE_PR_CHANGE="",IF(TITLE_DATE_PR="","",TITLE_DATE_PR),TITLE_DATE_PR_CHANGE)</f>
        <v>45631.710694444446</v>
      </c>
      <c r="AH28" s="2776"/>
      <c r="AI28" s="2776"/>
      <c r="AJ28" s="2776"/>
      <c r="AK28" s="2776"/>
      <c r="AL28" s="2776"/>
      <c r="AM28" s="2776"/>
      <c r="AN28" s="2776"/>
      <c r="AO28" s="2776"/>
      <c r="AP28" s="2776"/>
      <c r="AQ28" s="838"/>
      <c r="AR28" s="838"/>
      <c r="AS28" s="792"/>
      <c r="AT28" s="880"/>
      <c r="AU28" s="880"/>
      <c r="AV28" s="880"/>
      <c r="AW28" s="880"/>
      <c r="AX28" s="880"/>
      <c r="AY28" s="930">
        <v>0</v>
      </c>
    </row>
    <row s="51018" customFormat="1" customHeight="1" ht="18.75">
      <c r="A29" s="1880"/>
      <c r="B29" s="1880"/>
      <c r="C29" s="1880"/>
      <c r="D29" s="1880"/>
      <c r="E29" s="1880"/>
      <c r="F29" s="1880"/>
      <c r="G29" s="1880"/>
      <c r="H29" s="1880"/>
      <c r="I29" s="1880"/>
      <c r="J29" s="1880"/>
      <c r="K29" s="1880"/>
      <c r="L29" s="1881"/>
      <c r="M29" s="1880"/>
      <c r="N29" s="1880"/>
      <c r="O29" s="1880"/>
      <c r="S29" s="2762" t="s">
        <v>561</v>
      </c>
      <c r="T29" s="2762"/>
      <c r="U29" s="1884"/>
      <c r="V29" s="2763" t="str">
        <f>IF(TITLE_NUMBER_PR_CHANGE="",IF(TITLE_NUMBER_PR="","",TITLE_NUMBER_PR),TITLE_NUMBER_PR_CHANGE)</f>
        <v>53/9</v>
      </c>
      <c r="W29" s="2763"/>
      <c r="X29" s="2763"/>
      <c r="Y29" s="2763"/>
      <c r="Z29" s="2763"/>
      <c r="AA29" s="2763"/>
      <c r="AB29" s="2763"/>
      <c r="AC29" s="2763"/>
      <c r="AD29" s="2763"/>
      <c r="AE29" s="2763"/>
      <c r="AF29" s="838"/>
      <c r="AG29" s="2763" t="str">
        <f>IF(TITLE_NUMBER_PR_CHANGE="",IF(TITLE_NUMBER_PR="","",TITLE_NUMBER_PR),TITLE_NUMBER_PR_CHANGE)</f>
        <v>53/9</v>
      </c>
      <c r="AH29" s="2763"/>
      <c r="AI29" s="2763"/>
      <c r="AJ29" s="2763"/>
      <c r="AK29" s="2763"/>
      <c r="AL29" s="2763"/>
      <c r="AM29" s="2763"/>
      <c r="AN29" s="2763"/>
      <c r="AO29" s="2763"/>
      <c r="AP29" s="2763"/>
      <c r="AQ29" s="838"/>
      <c r="AR29" s="838"/>
      <c r="AS29" s="792"/>
      <c r="AT29" s="880"/>
      <c r="AU29" s="880"/>
      <c r="AV29" s="880"/>
      <c r="AW29" s="880"/>
      <c r="AX29" s="880"/>
      <c r="AY29" s="930">
        <v>0</v>
      </c>
    </row>
    <row s="51018"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2763"/>
      <c r="AC30" s="2763"/>
      <c r="AD30" s="2763"/>
      <c r="AE30" s="2763"/>
      <c r="AF30" s="838"/>
      <c r="AG30" s="2763" t="str">
        <f>IF(TITLE_IST_PUB_CHANGE="",IF(TITLE_IST_PUB="","",TITLE_IST_PUB),TITLE_IST_PUB_CHANGE)</f>
        <v>http://pravo.gov.ru</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51018" customFormat="1" customHeight="1" ht="18.75" hidden="1">
      <c r="A32" s="1880"/>
      <c r="B32" s="1880"/>
      <c r="C32" s="1880"/>
      <c r="D32" s="1880"/>
      <c r="E32" s="1880"/>
      <c r="F32" s="1880"/>
      <c r="G32" s="1880"/>
      <c r="H32" s="1880"/>
      <c r="I32" s="1880"/>
      <c r="J32" s="1880"/>
      <c r="K32" s="1880"/>
      <c r="L32" s="1881"/>
      <c r="M32" s="1880"/>
      <c r="N32" s="1880"/>
      <c r="O32" s="1880"/>
      <c r="S32" s="2762" t="s">
        <v>562</v>
      </c>
      <c r="T32" s="2762"/>
      <c r="U32" s="1884"/>
      <c r="V32" s="2776" t="str">
        <f>IF(TITLE_DATE_PR_CHANGE="",IF(TITLE_DATE_PR="","",TITLE_DATE_PR),TITLE_DATE_PR_CHANGE)</f>
        <v>45631.710694444446</v>
      </c>
      <c r="W32" s="2776"/>
      <c r="X32" s="2776"/>
      <c r="Y32" s="2776"/>
      <c r="Z32" s="2776"/>
      <c r="AA32" s="2776"/>
      <c r="AB32" s="2776"/>
      <c r="AC32" s="2776"/>
      <c r="AD32" s="2776"/>
      <c r="AE32" s="2776"/>
      <c r="AF32" s="838"/>
      <c r="AG32" s="2776" t="str">
        <f>IF(TITLE_DATE_PR_CHANGE="",IF(TITLE_DATE_PR="","",TITLE_DATE_PR),TITLE_DATE_PR_CHANGE)</f>
        <v>45631.710694444446</v>
      </c>
      <c r="AH32" s="2776"/>
      <c r="AI32" s="2776"/>
      <c r="AJ32" s="2776"/>
      <c r="AK32" s="2776"/>
      <c r="AL32" s="2776"/>
      <c r="AM32" s="2776"/>
      <c r="AN32" s="2776"/>
      <c r="AO32" s="2776"/>
      <c r="AP32" s="2776"/>
      <c r="AQ32" s="838"/>
      <c r="AR32" s="838"/>
      <c r="AS32" s="792"/>
      <c r="AT32" s="880"/>
      <c r="AU32" s="880"/>
      <c r="AV32" s="880"/>
      <c r="AW32" s="880"/>
      <c r="AX32" s="880"/>
      <c r="AY32" s="930">
        <v>0</v>
      </c>
    </row>
    <row s="51018" customFormat="1" customHeight="1" ht="18.75" hidden="1">
      <c r="A33" s="1880"/>
      <c r="B33" s="1880"/>
      <c r="C33" s="1880"/>
      <c r="D33" s="1880"/>
      <c r="E33" s="1880"/>
      <c r="F33" s="1880"/>
      <c r="G33" s="1880"/>
      <c r="H33" s="1880"/>
      <c r="I33" s="1880"/>
      <c r="J33" s="1880"/>
      <c r="K33" s="1880"/>
      <c r="L33" s="1881"/>
      <c r="M33" s="1880"/>
      <c r="N33" s="1880"/>
      <c r="O33" s="1880"/>
      <c r="S33" s="2762" t="s">
        <v>563</v>
      </c>
      <c r="T33" s="2762"/>
      <c r="U33" s="1884"/>
      <c r="V33" s="2763" t="str">
        <f>IF(TITLE_NUMBER_PR_CHANGE="",IF(TITLE_NUMBER_PR="","",TITLE_NUMBER_PR),TITLE_NUMBER_PR_CHANGE)</f>
        <v>53/9</v>
      </c>
      <c r="W33" s="2763"/>
      <c r="X33" s="2763"/>
      <c r="Y33" s="2763"/>
      <c r="Z33" s="2763"/>
      <c r="AA33" s="2763"/>
      <c r="AB33" s="2763"/>
      <c r="AC33" s="2763"/>
      <c r="AD33" s="2763"/>
      <c r="AE33" s="2763"/>
      <c r="AF33" s="838"/>
      <c r="AG33" s="2763" t="str">
        <f>IF(TITLE_NUMBER_PR_CHANGE="",IF(TITLE_NUMBER_PR="","",TITLE_NUMBER_PR),TITLE_NUMBER_PR_CHANGE)</f>
        <v>53/9</v>
      </c>
      <c r="AH33" s="2763"/>
      <c r="AI33" s="2763"/>
      <c r="AJ33" s="2763"/>
      <c r="AK33" s="2763"/>
      <c r="AL33" s="2763"/>
      <c r="AM33" s="2763"/>
      <c r="AN33" s="2763"/>
      <c r="AO33" s="2763"/>
      <c r="AP33" s="2763"/>
      <c r="AQ33" s="838"/>
      <c r="AR33" s="838"/>
      <c r="AS33" s="792"/>
      <c r="AT33" s="880"/>
      <c r="AU33" s="880"/>
      <c r="AV33" s="880"/>
      <c r="AW33" s="880"/>
      <c r="AX33" s="880"/>
      <c r="AY33" s="930">
        <v>0</v>
      </c>
    </row>
    <row s="51018"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838"/>
      <c r="AC34" s="838"/>
      <c r="AD34" s="838"/>
      <c r="AE34" s="838"/>
      <c r="AF34" s="790" t="s">
        <v>564</v>
      </c>
      <c r="AG34" s="838"/>
      <c r="AH34" s="2147"/>
      <c r="AI34" s="2147"/>
      <c r="AJ34" s="2147"/>
      <c r="AK34" s="2147"/>
      <c r="AL34" s="2147"/>
      <c r="AM34" s="838"/>
      <c r="AN34" s="838"/>
      <c r="AO34" s="838"/>
      <c r="AP34" s="838"/>
      <c r="AQ34" s="790" t="s">
        <v>564</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439</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440</v>
      </c>
      <c r="AY36" s="1667">
        <v>14</v>
      </c>
    </row>
    <row customHeight="1" ht="14.699999999999998">
      <c r="Q37" s="888"/>
      <c r="R37" s="888"/>
      <c r="S37" s="2785" t="s">
        <v>90</v>
      </c>
      <c r="T37" s="2721" t="s">
        <v>565</v>
      </c>
      <c r="U37" s="813"/>
      <c r="V37" s="2786" t="s">
        <v>566</v>
      </c>
      <c r="W37" s="2787"/>
      <c r="X37" s="2787"/>
      <c r="Y37" s="2787"/>
      <c r="Z37" s="2787"/>
      <c r="AA37" s="2787"/>
      <c r="AB37" s="2787"/>
      <c r="AC37" s="2787"/>
      <c r="AD37" s="2787"/>
      <c r="AE37" s="2788"/>
      <c r="AF37" s="2789" t="s">
        <v>567</v>
      </c>
      <c r="AG37" s="2786" t="s">
        <v>566</v>
      </c>
      <c r="AH37" s="2787"/>
      <c r="AI37" s="2787"/>
      <c r="AJ37" s="2787"/>
      <c r="AK37" s="2787"/>
      <c r="AL37" s="2787"/>
      <c r="AM37" s="2787"/>
      <c r="AN37" s="2787"/>
      <c r="AO37" s="2787"/>
      <c r="AP37" s="2788"/>
      <c r="AQ37" s="2789" t="s">
        <v>568</v>
      </c>
      <c r="AR37" s="2792" t="s">
        <v>569</v>
      </c>
      <c r="AS37" s="2639"/>
      <c r="AY37" s="1667">
        <v>14</v>
      </c>
    </row>
    <row s="50801" customFormat="1" customHeight="1" ht="19.95">
      <c r="A38" s="1878"/>
      <c r="B38" s="1878"/>
      <c r="C38" s="1878"/>
      <c r="D38" s="1878"/>
      <c r="E38" s="1878"/>
      <c r="F38" s="1878"/>
      <c r="G38" s="1878"/>
      <c r="H38" s="1878"/>
      <c r="I38" s="1878"/>
      <c r="J38" s="1878"/>
      <c r="K38" s="1878"/>
      <c r="L38" s="2492"/>
      <c r="M38" s="1874"/>
      <c r="N38" s="1874"/>
      <c r="O38" s="1874"/>
      <c r="P38" s="2493"/>
      <c r="Q38" s="888"/>
      <c r="R38" s="888"/>
      <c r="S38" s="2785"/>
      <c r="T38" s="2721"/>
      <c r="U38" s="1543"/>
      <c r="V38" s="2878" t="s">
        <v>670</v>
      </c>
      <c r="W38" s="2877" t="s">
        <v>671</v>
      </c>
      <c r="X38" s="2877"/>
      <c r="Y38" s="2877"/>
      <c r="Z38" s="2877" t="s">
        <v>672</v>
      </c>
      <c r="AA38" s="2877"/>
      <c r="AB38" s="2877"/>
      <c r="AC38" s="2806" t="s">
        <v>573</v>
      </c>
      <c r="AD38" s="2825"/>
      <c r="AE38" s="2826"/>
      <c r="AF38" s="2790"/>
      <c r="AG38" s="2878" t="s">
        <v>670</v>
      </c>
      <c r="AH38" s="2877" t="s">
        <v>671</v>
      </c>
      <c r="AI38" s="2877"/>
      <c r="AJ38" s="2877"/>
      <c r="AK38" s="2877" t="s">
        <v>672</v>
      </c>
      <c r="AL38" s="2877"/>
      <c r="AM38" s="2877"/>
      <c r="AN38" s="2806" t="s">
        <v>573</v>
      </c>
      <c r="AO38" s="2825"/>
      <c r="AP38" s="2826"/>
      <c r="AQ38" s="2790"/>
      <c r="AR38" s="2793"/>
      <c r="AS38" s="2639"/>
      <c r="AT38" s="2148"/>
      <c r="AU38" s="2148"/>
      <c r="AV38" s="2148"/>
      <c r="AW38" s="2148"/>
      <c r="AX38" s="2148"/>
      <c r="AY38" s="2143">
        <v>19</v>
      </c>
    </row>
    <row customHeight="1" ht="19.95">
      <c r="Q39" s="888"/>
      <c r="R39" s="888"/>
      <c r="S39" s="2785"/>
      <c r="T39" s="2721"/>
      <c r="U39" s="1543"/>
      <c r="V39" s="2878"/>
      <c r="W39" s="2877" t="s">
        <v>673</v>
      </c>
      <c r="X39" s="2877" t="s">
        <v>674</v>
      </c>
      <c r="Y39" s="2877"/>
      <c r="Z39" s="2877" t="s">
        <v>675</v>
      </c>
      <c r="AA39" s="2877" t="s">
        <v>674</v>
      </c>
      <c r="AB39" s="2877"/>
      <c r="AC39" s="2807"/>
      <c r="AD39" s="2827"/>
      <c r="AE39" s="2828"/>
      <c r="AF39" s="2790"/>
      <c r="AG39" s="2878"/>
      <c r="AH39" s="2877" t="s">
        <v>673</v>
      </c>
      <c r="AI39" s="2877" t="s">
        <v>674</v>
      </c>
      <c r="AJ39" s="2877"/>
      <c r="AK39" s="2877" t="s">
        <v>675</v>
      </c>
      <c r="AL39" s="2877" t="s">
        <v>674</v>
      </c>
      <c r="AM39" s="2877"/>
      <c r="AN39" s="2807"/>
      <c r="AO39" s="2827"/>
      <c r="AP39" s="2828"/>
      <c r="AQ39" s="2790"/>
      <c r="AR39" s="2793"/>
      <c r="AS39" s="2639"/>
      <c r="AY39" s="1667">
        <v>19</v>
      </c>
    </row>
    <row customHeight="1" ht="61.949999999999996">
      <c r="A40" s="1882"/>
      <c r="B40" s="1882" t="s">
        <v>201</v>
      </c>
      <c r="C40" s="1882" t="s">
        <v>202</v>
      </c>
      <c r="D40" s="1882" t="s">
        <v>203</v>
      </c>
      <c r="E40" s="1876" t="s">
        <v>574</v>
      </c>
      <c r="F40" s="1876" t="s">
        <v>575</v>
      </c>
      <c r="G40" s="1876" t="s">
        <v>576</v>
      </c>
      <c r="H40" s="1876"/>
      <c r="I40" s="1876" t="s">
        <v>626</v>
      </c>
      <c r="J40" s="1876" t="s">
        <v>579</v>
      </c>
      <c r="K40" s="1876" t="s">
        <v>627</v>
      </c>
      <c r="L40" s="1876" t="s">
        <v>555</v>
      </c>
      <c r="Q40" s="888"/>
      <c r="R40" s="888"/>
      <c r="S40" s="2785"/>
      <c r="T40" s="2721"/>
      <c r="U40" s="814"/>
      <c r="V40" s="2878"/>
      <c r="W40" s="2877"/>
      <c r="X40" s="2495" t="s">
        <v>676</v>
      </c>
      <c r="Y40" s="2495" t="s">
        <v>677</v>
      </c>
      <c r="Z40" s="2877"/>
      <c r="AA40" s="2495" t="s">
        <v>678</v>
      </c>
      <c r="AB40" s="2495" t="s">
        <v>679</v>
      </c>
      <c r="AC40" s="2001" t="s">
        <v>583</v>
      </c>
      <c r="AD40" s="2782" t="s">
        <v>584</v>
      </c>
      <c r="AE40" s="2783"/>
      <c r="AF40" s="2791"/>
      <c r="AG40" s="2878"/>
      <c r="AH40" s="2877"/>
      <c r="AI40" s="2495" t="s">
        <v>676</v>
      </c>
      <c r="AJ40" s="2495" t="s">
        <v>677</v>
      </c>
      <c r="AK40" s="2877"/>
      <c r="AL40" s="2495" t="s">
        <v>678</v>
      </c>
      <c r="AM40" s="2495" t="s">
        <v>679</v>
      </c>
      <c r="AN40" s="2001" t="s">
        <v>583</v>
      </c>
      <c r="AO40" s="2782" t="s">
        <v>584</v>
      </c>
      <c r="AP40" s="2783"/>
      <c r="AQ40" s="2791"/>
      <c r="AR40" s="2794"/>
      <c r="AS40" s="2639"/>
      <c r="AY40" s="1667">
        <v>59</v>
      </c>
    </row>
    <row s="51564"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101</v>
      </c>
      <c r="T41" s="1767" t="s">
        <v>105</v>
      </c>
      <c r="U41" s="1757" t="str">
        <f>OFFSET(U41,0,-1)</f>
        <v>2</v>
      </c>
      <c r="V41" s="1994">
        <f>OFFSET(V41,0,-1)+1</f>
        <v>3</v>
      </c>
      <c r="W41" s="2491"/>
      <c r="X41" s="2491"/>
      <c r="Y41" s="2491"/>
      <c r="Z41" s="2491"/>
      <c r="AA41" s="2491"/>
      <c r="AB41" s="1994">
        <f>OFFSET(AB41,0,-1)+1</f>
        <v>1</v>
      </c>
      <c r="AC41" s="1994">
        <f>OFFSET(AC41,0,-1)+1</f>
        <v>2</v>
      </c>
      <c r="AD41" s="2784">
        <f>OFFSET(AD41,0,-1)+1</f>
        <v>3</v>
      </c>
      <c r="AE41" s="2784"/>
      <c r="AF41" s="1994">
        <f>OFFSET(AF41,0,-2)+1</f>
        <v>4</v>
      </c>
      <c r="AG41" s="1994">
        <f>OFFSET(AG41,0,-1)+1</f>
        <v>5</v>
      </c>
      <c r="AH41" s="2491"/>
      <c r="AI41" s="2491"/>
      <c r="AJ41" s="2491"/>
      <c r="AK41" s="2491"/>
      <c r="AL41" s="2491"/>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395</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189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395</v>
      </c>
      <c r="B43" s="1875" t="s">
        <v>396</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536</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537</v>
      </c>
      <c r="AU43" s="1012"/>
      <c r="AV43" s="1012" t="str">
        <f>IF(T43="","",T43)</f>
        <v>Территория действия тарифа</v>
      </c>
      <c r="AW43" s="1012"/>
      <c r="AX43" s="1012"/>
      <c r="AY43" s="1667">
        <v>23</v>
      </c>
    </row>
    <row customHeight="1" ht="24">
      <c r="A44" s="1875" t="s">
        <v>395</v>
      </c>
      <c r="B44" s="1875" t="s">
        <v>396</v>
      </c>
      <c r="C44" s="1875" t="s">
        <v>397</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668</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669</v>
      </c>
      <c r="AU44" s="1012"/>
      <c r="AV44" s="1012" t="str">
        <f>IF(T44="","",T44)</f>
        <v>Наименование централизованной системы горячего водоснабжения</v>
      </c>
      <c r="AW44" s="1012"/>
      <c r="AX44" s="1012"/>
      <c r="AY44" s="1667">
        <v>23</v>
      </c>
    </row>
    <row customHeight="1" ht="24">
      <c r="A45" s="1875" t="s">
        <v>395</v>
      </c>
      <c r="B45" s="1875" t="s">
        <v>396</v>
      </c>
      <c r="C45" s="1875" t="s">
        <v>397</v>
      </c>
      <c r="D45" s="1875" t="s">
        <v>681</v>
      </c>
      <c r="E45" s="2771"/>
      <c r="F45" s="2771"/>
      <c r="G45" s="2771"/>
      <c r="H45" s="2771"/>
      <c r="I45" s="2768" t="str">
        <f>S44&amp;".1"</f>
        <v>...1</v>
      </c>
      <c r="J45" s="1875"/>
      <c r="K45" s="1875"/>
      <c r="L45" s="1876"/>
      <c r="P45" s="2769">
        <v>1</v>
      </c>
      <c r="Q45" s="1993"/>
      <c r="R45" s="868"/>
      <c r="S45" s="2005" t="str">
        <f>$I45</f>
        <v>...1</v>
      </c>
      <c r="T45" s="797" t="s">
        <v>619</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620</v>
      </c>
      <c r="AU45" s="1012"/>
      <c r="AV45" s="1012" t="str">
        <f>IF(T45="","",T45)</f>
        <v>Наименование признака дифференциации</v>
      </c>
      <c r="AW45" s="1012"/>
      <c r="AX45" s="1012"/>
      <c r="AY45" s="1667">
        <v>23</v>
      </c>
    </row>
    <row customHeight="1" ht="24">
      <c r="A46" s="1875" t="s">
        <v>395</v>
      </c>
      <c r="B46" s="1875" t="s">
        <v>396</v>
      </c>
      <c r="C46" s="1875" t="s">
        <v>397</v>
      </c>
      <c r="D46" s="1875" t="s">
        <v>681</v>
      </c>
      <c r="E46" s="2771"/>
      <c r="F46" s="2771"/>
      <c r="G46" s="2771"/>
      <c r="H46" s="2771"/>
      <c r="I46" s="2798"/>
      <c r="J46" s="2768" t="str">
        <f>I45&amp;".1"</f>
        <v>...1.1</v>
      </c>
      <c r="K46" s="1875"/>
      <c r="L46" s="1876" t="s">
        <v>545</v>
      </c>
      <c r="P46" s="2769"/>
      <c r="Q46" s="2769">
        <v>1</v>
      </c>
      <c r="R46" s="869"/>
      <c r="S46" s="2005" t="str">
        <f>$J46</f>
        <v>...1.1</v>
      </c>
      <c r="T46" s="798" t="s">
        <v>546</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621</v>
      </c>
      <c r="AU46" s="1012"/>
      <c r="AV46" s="1012" t="str">
        <f>IF(T46="","",T46)</f>
        <v>Группа потребителей</v>
      </c>
      <c r="AW46" s="1012"/>
      <c r="AX46" s="1012"/>
      <c r="AY46" s="1667">
        <v>23</v>
      </c>
    </row>
    <row customHeight="1" ht="24">
      <c r="A47" s="1875" t="s">
        <v>395</v>
      </c>
      <c r="B47" s="1875" t="s">
        <v>396</v>
      </c>
      <c r="C47" s="1875" t="s">
        <v>397</v>
      </c>
      <c r="D47" s="1875" t="s">
        <v>681</v>
      </c>
      <c r="E47" s="2771"/>
      <c r="F47" s="2771"/>
      <c r="G47" s="2771"/>
      <c r="H47" s="2771"/>
      <c r="I47" s="2798"/>
      <c r="J47" s="2798"/>
      <c r="K47" s="2768" t="str">
        <f>J46&amp;".1"</f>
        <v>...1.1.1</v>
      </c>
      <c r="L47" s="1876"/>
      <c r="P47" s="2769"/>
      <c r="Q47" s="2769"/>
      <c r="R47" s="869">
        <v>1</v>
      </c>
      <c r="S47" s="2005" t="str">
        <f>$K47</f>
        <v>...1.1.1</v>
      </c>
      <c r="T47" s="1949"/>
      <c r="U47" s="812"/>
      <c r="V47" s="1872"/>
      <c r="W47" s="1872"/>
      <c r="X47" s="1872"/>
      <c r="Y47" s="1872"/>
      <c r="Z47" s="1872"/>
      <c r="AA47" s="1872"/>
      <c r="AB47" s="1873"/>
      <c r="AC47" s="2779"/>
      <c r="AD47" s="2780" t="s">
        <v>63</v>
      </c>
      <c r="AE47" s="2779"/>
      <c r="AF47" s="2780" t="s">
        <v>63</v>
      </c>
      <c r="AG47" s="1263"/>
      <c r="AH47" s="1263"/>
      <c r="AI47" s="1263"/>
      <c r="AJ47" s="1263"/>
      <c r="AK47" s="1263"/>
      <c r="AL47" s="1263"/>
      <c r="AM47" s="1769"/>
      <c r="AN47" s="2777"/>
      <c r="AO47" s="2619" t="s">
        <v>63</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395</v>
      </c>
      <c r="B48" s="1875" t="s">
        <v>396</v>
      </c>
      <c r="C48" s="1875" t="s">
        <v>397</v>
      </c>
      <c r="D48" s="1875" t="s">
        <v>681</v>
      </c>
      <c r="E48" s="2771"/>
      <c r="F48" s="2771"/>
      <c r="G48" s="2771"/>
      <c r="H48" s="2771"/>
      <c r="I48" s="2798"/>
      <c r="J48" s="2798"/>
      <c r="K48" s="2768"/>
      <c r="L48" s="1876"/>
      <c r="P48" s="2769"/>
      <c r="Q48" s="2769"/>
      <c r="R48" s="869"/>
      <c r="S48" s="2002"/>
      <c r="T48" s="812"/>
      <c r="U48" s="812"/>
      <c r="V48" s="1872"/>
      <c r="W48" s="1872"/>
      <c r="X48" s="1872"/>
      <c r="Y48" s="1872"/>
      <c r="Z48" s="1872"/>
      <c r="AA48" s="1872"/>
      <c r="AB48" s="840" t="str">
        <f>AC47&amp;"-"&amp;AE47</f>
        <v>-</v>
      </c>
      <c r="AC48" s="2780"/>
      <c r="AD48" s="2780"/>
      <c r="AE48" s="2780"/>
      <c r="AF48" s="2780"/>
      <c r="AG48" s="837"/>
      <c r="AH48" s="837"/>
      <c r="AI48" s="837"/>
      <c r="AJ48" s="837"/>
      <c r="AK48" s="837"/>
      <c r="AL48" s="837"/>
      <c r="AM48" s="840" t="str">
        <f>AN47&amp;"-"&amp;AP47</f>
        <v>-</v>
      </c>
      <c r="AN48" s="2778"/>
      <c r="AO48" s="2619"/>
      <c r="AP48" s="2800"/>
      <c r="AQ48" s="2619"/>
      <c r="AR48" s="1951"/>
      <c r="AS48" s="2861"/>
      <c r="AU48" s="1012"/>
      <c r="AV48" s="1012" t="str">
        <f>IF(T48="","",T48)</f>
        <v/>
      </c>
      <c r="AW48" s="1012"/>
      <c r="AX48" s="1012"/>
      <c r="AY48" s="1667">
        <v>0</v>
      </c>
    </row>
    <row customHeight="1" ht="21">
      <c r="A49" s="1875" t="s">
        <v>395</v>
      </c>
      <c r="B49" s="1875" t="s">
        <v>396</v>
      </c>
      <c r="C49" s="1875" t="s">
        <v>397</v>
      </c>
      <c r="D49" s="1875" t="s">
        <v>681</v>
      </c>
      <c r="E49" s="2771"/>
      <c r="F49" s="2771"/>
      <c r="G49" s="2771"/>
      <c r="H49" s="2771"/>
      <c r="I49" s="2798"/>
      <c r="J49" s="2768"/>
      <c r="K49" s="1875"/>
      <c r="L49" s="1876"/>
      <c r="P49" s="2769"/>
      <c r="Q49" s="2769"/>
      <c r="R49" s="868"/>
      <c r="S49" s="1790"/>
      <c r="T49" s="799" t="s">
        <v>622</v>
      </c>
      <c r="U49" s="879"/>
      <c r="V49" s="879"/>
      <c r="W49" s="1112"/>
      <c r="X49" s="1112"/>
      <c r="Y49" s="1112"/>
      <c r="Z49" s="1112"/>
      <c r="AA49" s="1112"/>
      <c r="AB49" s="879"/>
      <c r="AC49" s="879"/>
      <c r="AD49" s="879"/>
      <c r="AE49" s="879"/>
      <c r="AF49" s="879"/>
      <c r="AG49" s="879"/>
      <c r="AH49" s="1112"/>
      <c r="AI49" s="1112"/>
      <c r="AJ49" s="1112"/>
      <c r="AK49" s="1112"/>
      <c r="AL49" s="1112"/>
      <c r="AM49" s="879"/>
      <c r="AN49" s="879"/>
      <c r="AO49" s="879"/>
      <c r="AP49" s="879"/>
      <c r="AQ49" s="879"/>
      <c r="AR49" s="879"/>
      <c r="AS49" s="1770" t="s">
        <v>623</v>
      </c>
      <c r="AU49" s="1012"/>
      <c r="AV49" s="1012" t="str">
        <f>IF(T49="","",T49)</f>
        <v>Добавить значение признака дифференциации</v>
      </c>
      <c r="AW49" s="1012"/>
      <c r="AX49" s="1012"/>
      <c r="AY49" s="1667">
        <v>20</v>
      </c>
    </row>
    <row customHeight="1" ht="22.049999999999997">
      <c r="A50" s="1875" t="s">
        <v>395</v>
      </c>
      <c r="B50" s="1875" t="s">
        <v>396</v>
      </c>
      <c r="C50" s="1875" t="s">
        <v>397</v>
      </c>
      <c r="D50" s="1875" t="s">
        <v>681</v>
      </c>
      <c r="E50" s="2771"/>
      <c r="F50" s="2771"/>
      <c r="G50" s="2771"/>
      <c r="H50" s="2771"/>
      <c r="I50" s="2768"/>
      <c r="J50" s="1875"/>
      <c r="K50" s="1875"/>
      <c r="L50" s="1876"/>
      <c r="P50" s="2769"/>
      <c r="Q50" s="1993"/>
      <c r="R50" s="868"/>
      <c r="S50" s="1790"/>
      <c r="T50" s="877" t="s">
        <v>551</v>
      </c>
      <c r="U50" s="879"/>
      <c r="V50" s="879"/>
      <c r="W50" s="1112"/>
      <c r="X50" s="1112"/>
      <c r="Y50" s="1112"/>
      <c r="Z50" s="1112"/>
      <c r="AA50" s="1112"/>
      <c r="AB50" s="879"/>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395</v>
      </c>
      <c r="B51" s="1875" t="s">
        <v>396</v>
      </c>
      <c r="C51" s="1875" t="s">
        <v>397</v>
      </c>
      <c r="D51" s="1875" t="s">
        <v>681</v>
      </c>
      <c r="E51" s="2771"/>
      <c r="F51" s="2771"/>
      <c r="G51" s="2771"/>
      <c r="H51" s="2770"/>
      <c r="I51" s="1875"/>
      <c r="J51" s="1875"/>
      <c r="K51" s="1875"/>
      <c r="L51" s="1876"/>
      <c r="M51" s="1877"/>
      <c r="N51" s="1877"/>
      <c r="O51" s="1049"/>
      <c r="P51" s="872"/>
      <c r="Q51" s="887"/>
      <c r="R51" s="867"/>
      <c r="S51" s="1790"/>
      <c r="T51" s="884" t="s">
        <v>624</v>
      </c>
      <c r="U51" s="879"/>
      <c r="V51" s="879"/>
      <c r="W51" s="1112"/>
      <c r="X51" s="1112"/>
      <c r="Y51" s="1112"/>
      <c r="Z51" s="1112"/>
      <c r="AA51" s="1112"/>
      <c r="AB51" s="879"/>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50882" customFormat="1" customHeight="1" ht="0">
      <c r="A52" s="1855" t="s">
        <v>395</v>
      </c>
      <c r="B52" s="1855" t="s">
        <v>396</v>
      </c>
      <c r="C52" s="1826"/>
      <c r="D52" s="1826"/>
      <c r="E52" s="2771"/>
      <c r="F52" s="2770"/>
      <c r="G52" s="1826"/>
      <c r="H52" s="1826"/>
      <c r="I52" s="1826"/>
      <c r="J52" s="1826"/>
      <c r="K52" s="1826"/>
      <c r="L52" s="2006"/>
      <c r="M52" s="1833"/>
      <c r="N52" s="1833"/>
      <c r="P52" s="1828"/>
      <c r="Q52" s="1829"/>
      <c r="R52" s="1828"/>
      <c r="S52" s="1834"/>
      <c r="T52" s="1837" t="s">
        <v>290</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50882" customFormat="1" customHeight="1" ht="0">
      <c r="A53" s="1855" t="s">
        <v>395</v>
      </c>
      <c r="B53" s="1855"/>
      <c r="C53" s="1855"/>
      <c r="D53" s="1855"/>
      <c r="E53" s="2770"/>
      <c r="F53" s="1855"/>
      <c r="G53" s="1855"/>
      <c r="H53" s="1855"/>
      <c r="I53" s="1855"/>
      <c r="J53" s="1855"/>
      <c r="K53" s="1855"/>
      <c r="L53" s="1858"/>
      <c r="M53" s="1833"/>
      <c r="N53" s="1833"/>
      <c r="O53" s="1030"/>
      <c r="P53" s="892"/>
      <c r="Q53" s="1856"/>
      <c r="R53" s="892"/>
      <c r="S53" s="1834"/>
      <c r="T53" s="1837" t="s">
        <v>365</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50882"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366</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84</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1667">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C0FE27-EBFD-136B-46FE-.870DB83313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50881" width="11.57421875" hidden="1" customWidth="1"/>
    <col min="2" max="2" style="50881" width="11.00390625" hidden="1" customWidth="1"/>
    <col min="3" max="3" style="50881" width="10.57421875" hidden="1"/>
    <col min="4" max="4" style="50881" width="12.8515625" hidden="1" customWidth="1"/>
    <col min="5" max="5" style="50881" width="10.00390625" hidden="1" customWidth="1"/>
    <col min="6" max="6" style="50881" width="8.7109375" hidden="1" customWidth="1"/>
    <col min="7" max="7" style="50881" width="7.57421875" hidden="1" customWidth="1"/>
    <col min="8" max="8" style="50881" width="11.421875" hidden="1" customWidth="1"/>
    <col min="9" max="9" style="50881" width="12.00390625" hidden="1" customWidth="1"/>
    <col min="10" max="10" style="50881" width="9.8515625" hidden="1" customWidth="1"/>
    <col min="11" max="11" style="50881" width="11.421875" hidden="1" customWidth="1"/>
    <col min="12" max="12" style="51806" width="19.140625" hidden="1" customWidth="1"/>
    <col min="13" max="14" style="51807" width="12.28125" hidden="1" customWidth="1"/>
    <col min="15" max="15" style="51807" width="23.421875" hidden="1" customWidth="1"/>
    <col min="16" max="16" style="51807" width="3.7109375" hidden="1" customWidth="1"/>
    <col min="17" max="17" style="51992" width="3.7109375" hidden="1" customWidth="1"/>
    <col min="18" max="18" style="51809" width="3.00390625" customWidth="1"/>
    <col min="19" max="19" style="51810" width="12.00390625" customWidth="1"/>
    <col min="20" max="20" style="50801" width="31.00390625" customWidth="1"/>
    <col min="21" max="21" style="50801" width="0.140625" customWidth="1"/>
    <col min="22" max="25" style="50801" width="21.7109375" hidden="1" customWidth="1"/>
    <col min="26" max="26" style="50801" width="11.7109375" hidden="1" customWidth="1"/>
    <col min="27" max="27" style="50801" width="3.7109375" hidden="1" customWidth="1"/>
    <col min="28" max="28" style="50801" width="11.7109375" hidden="1" customWidth="1"/>
    <col min="29" max="29" style="50801" width="8.57421875" hidden="1" customWidth="1"/>
    <col min="30" max="30" style="50801" width="3.7109375" customWidth="1"/>
    <col min="31" max="32" style="50801" width="3.00390625" customWidth="1"/>
    <col min="33" max="33" style="50801" width="24.00390625" customWidth="1"/>
    <col min="34" max="34" style="50801" width="3.7109375" customWidth="1"/>
    <col min="35" max="36" style="50801" width="3.00390625" customWidth="1"/>
    <col min="37" max="37" style="50801" width="24.00390625" customWidth="1"/>
    <col min="38" max="38" style="50801" width="3.7109375" customWidth="1"/>
    <col min="39" max="40" style="50801" width="3.00390625" customWidth="1"/>
    <col min="41" max="41" style="50801" width="18.00390625" customWidth="1"/>
    <col min="42" max="42" style="50801" width="3.7109375" customWidth="1"/>
    <col min="43" max="44" style="50801" width="3.00390625" customWidth="1"/>
    <col min="45" max="45" style="50801" width="18.00390625" customWidth="1"/>
    <col min="46" max="49" style="50801" width="21.00390625" customWidth="1"/>
    <col min="50" max="50" style="50801" width="11.00390625" customWidth="1"/>
    <col min="51" max="51" style="50801" width="3.7109375" customWidth="1"/>
    <col min="52" max="52" style="50801" width="11.00390625" customWidth="1"/>
    <col min="53" max="53" style="50801" width="8.57421875" hidden="1" customWidth="1"/>
    <col min="54" max="54" style="50801" width="4.00390625" customWidth="1"/>
    <col min="55" max="55" style="50801" width="115.00390625" customWidth="1"/>
    <col min="56" max="60" style="50882" width="10.00390625" customWidth="1"/>
    <col min="61" max="61" style="50801"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189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536</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537</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668</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669</v>
      </c>
      <c r="BE4" s="1012"/>
      <c r="BF4" s="1012" t="str">
        <f>IF(T4="","",T4)</f>
        <v>Наименование централизованной системы горячего водоснабжения</v>
      </c>
      <c r="BG4" s="1012"/>
      <c r="BH4" s="1012"/>
      <c r="BI4" s="1667">
        <v>0</v>
      </c>
    </row>
    <row s="50882"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541</v>
      </c>
      <c r="BE5" s="1012"/>
      <c r="BF5" s="1012" t="str">
        <f>IF(T5="","",T5)</f>
        <v/>
      </c>
      <c r="BG5" s="1012"/>
      <c r="BH5" s="1012"/>
      <c r="BI5" s="1023">
        <v>0</v>
      </c>
    </row>
    <row s="50882" customFormat="1" customHeight="1" ht="14.25" hidden="1">
      <c r="A6" s="1855"/>
      <c r="B6" s="1855"/>
      <c r="C6" s="1855"/>
      <c r="D6" s="1855"/>
      <c r="E6" s="2771"/>
      <c r="F6" s="2771"/>
      <c r="G6" s="2771"/>
      <c r="H6" s="2771"/>
      <c r="I6" s="2768" t="str">
        <f>S5&amp;".1"</f>
        <v>.1</v>
      </c>
      <c r="J6" s="1855"/>
      <c r="K6" s="1855"/>
      <c r="L6" s="1858" t="s">
        <v>542</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50882"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63</v>
      </c>
      <c r="AB8" s="2246"/>
      <c r="AC8" s="1981" t="s">
        <v>63</v>
      </c>
      <c r="AD8" s="2697" t="s">
        <v>63</v>
      </c>
      <c r="AE8" s="2838"/>
      <c r="AF8" s="2717">
        <v>1</v>
      </c>
      <c r="AG8" s="2875"/>
      <c r="AH8" s="2619" t="s">
        <v>63</v>
      </c>
      <c r="AI8" s="2838"/>
      <c r="AJ8" s="2717">
        <v>1</v>
      </c>
      <c r="AK8" s="2839" t="s">
        <v>28</v>
      </c>
      <c r="AL8" s="2619" t="s">
        <v>63</v>
      </c>
      <c r="AM8" s="2704"/>
      <c r="AN8" s="2717">
        <v>1</v>
      </c>
      <c r="AO8" s="2869"/>
      <c r="AP8" s="2870" t="s">
        <v>63</v>
      </c>
      <c r="AQ8" s="823"/>
      <c r="AR8" s="1998">
        <v>1</v>
      </c>
      <c r="AS8" s="2004" t="s">
        <v>28</v>
      </c>
      <c r="AT8" s="1263"/>
      <c r="AU8" s="1769"/>
      <c r="AV8" s="1263"/>
      <c r="AW8" s="1769"/>
      <c r="AX8" s="2246"/>
      <c r="AY8" s="1981" t="s">
        <v>63</v>
      </c>
      <c r="AZ8" s="2246"/>
      <c r="BA8" s="1981" t="s">
        <v>63</v>
      </c>
      <c r="BB8" s="1860"/>
      <c r="BC8" s="2765" t="s">
        <v>639</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640</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641</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642</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643</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604</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50882"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50882"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50882"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50882"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290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50882"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365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63</v>
      </c>
      <c r="AZ20" s="2248"/>
      <c r="BA20" s="1997" t="s">
        <v>63</v>
      </c>
      <c r="BI20" s="1667">
        <v>0</v>
      </c>
    </row>
    <row customHeight="1" ht="14.25" hidden="1">
      <c r="BD21" s="1008"/>
      <c r="BE21" s="1008"/>
      <c r="BF21" s="1008"/>
      <c r="BG21" s="1008"/>
      <c r="BH21" s="1008"/>
      <c r="BI21" s="1667">
        <v>0</v>
      </c>
    </row>
    <row customHeight="1" ht="14.25" hidden="1">
      <c r="O22" s="1879" t="s">
        <v>554</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51963" customFormat="1" customHeight="1" ht="14.25" hidden="1">
      <c r="M24" s="2020"/>
      <c r="N24" s="2020"/>
      <c r="O24" s="2021" t="s">
        <v>555</v>
      </c>
      <c r="P24" s="2020"/>
      <c r="Q24" s="2022"/>
      <c r="R24" s="2022"/>
      <c r="AA24" s="2019" t="s">
        <v>557</v>
      </c>
      <c r="AC24" s="2019" t="s">
        <v>558</v>
      </c>
      <c r="AD24" s="2019" t="s">
        <v>605</v>
      </c>
      <c r="AH24" s="2019" t="s">
        <v>605</v>
      </c>
      <c r="AK24" s="2019" t="s">
        <v>644</v>
      </c>
      <c r="AL24" s="2019" t="s">
        <v>605</v>
      </c>
      <c r="AP24" s="2019" t="s">
        <v>605</v>
      </c>
      <c r="AY24" s="2019" t="s">
        <v>557</v>
      </c>
      <c r="BA24" s="2019" t="s">
        <v>558</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51018"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51018" customFormat="1" customHeight="1" ht="18.75">
      <c r="A32" s="1880"/>
      <c r="B32" s="1880"/>
      <c r="C32" s="1880"/>
      <c r="D32" s="1880"/>
      <c r="E32" s="1880"/>
      <c r="F32" s="1880"/>
      <c r="G32" s="1880"/>
      <c r="H32" s="1880"/>
      <c r="I32" s="1880"/>
      <c r="J32" s="1880"/>
      <c r="K32" s="1880"/>
      <c r="L32" s="1881"/>
      <c r="M32" s="1880"/>
      <c r="N32" s="1880"/>
      <c r="O32" s="1880"/>
      <c r="P32" s="1880"/>
      <c r="Q32" s="1880"/>
      <c r="S32" s="2762" t="s">
        <v>560</v>
      </c>
      <c r="T32" s="2762"/>
      <c r="U32" s="1884"/>
      <c r="V32" s="2776" t="str">
        <f>IF(TITLE_DATE_PR_CHANGE="",IF(TITLE_DATE_PR="","",TITLE_DATE_PR),TITLE_DATE_PR_CHANGE)</f>
        <v>45631.710694444446</v>
      </c>
      <c r="W32" s="2776"/>
      <c r="X32" s="2776"/>
      <c r="Y32" s="2776"/>
      <c r="Z32" s="2776"/>
      <c r="AA32" s="2776"/>
      <c r="AB32" s="2776"/>
      <c r="AC32" s="838"/>
      <c r="AD32" s="2776" t="str">
        <f>IF(TITLE_DATE_PR_CHANGE="",IF(TITLE_DATE_PR="","",TITLE_DATE_PR),TITLE_DATE_PR_CHANGE)</f>
        <v>45631.710694444446</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51018" customFormat="1" customHeight="1" ht="18.75">
      <c r="A33" s="1880"/>
      <c r="B33" s="1880"/>
      <c r="C33" s="1880"/>
      <c r="D33" s="1880"/>
      <c r="E33" s="1880"/>
      <c r="F33" s="1880"/>
      <c r="G33" s="1880"/>
      <c r="H33" s="1880"/>
      <c r="I33" s="1880"/>
      <c r="J33" s="1880"/>
      <c r="K33" s="1880"/>
      <c r="L33" s="1881"/>
      <c r="M33" s="1880"/>
      <c r="N33" s="1880"/>
      <c r="O33" s="1880"/>
      <c r="P33" s="1880"/>
      <c r="Q33" s="1880"/>
      <c r="S33" s="2762" t="s">
        <v>561</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51018"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51018"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560</v>
      </c>
      <c r="T36" s="2762"/>
      <c r="U36" s="1884"/>
      <c r="V36" s="2776" t="str">
        <f>IF(TITLE_DATE_PR_CHANGE="",IF(TITLE_DATE_PR="","",TITLE_DATE_PR),TITLE_DATE_PR_CHANGE)</f>
        <v>45631.710694444446</v>
      </c>
      <c r="W36" s="2776"/>
      <c r="X36" s="2776"/>
      <c r="Y36" s="2776"/>
      <c r="Z36" s="2776"/>
      <c r="AA36" s="2776"/>
      <c r="AB36" s="2776"/>
      <c r="AC36" s="838"/>
      <c r="AD36" s="2776" t="str">
        <f>IF(TITLE_DATE_PR_CHANGE="",IF(TITLE_DATE_PR="","",TITLE_DATE_PR),TITLE_DATE_PR_CHANGE)</f>
        <v>45631.710694444446</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51018"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561</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51018"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564</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564</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439</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440</v>
      </c>
      <c r="BI40" s="1667">
        <v>14</v>
      </c>
    </row>
    <row customHeight="1" ht="14.699999999999998">
      <c r="Q41" s="803"/>
      <c r="R41" s="888"/>
      <c r="S41" s="2785" t="s">
        <v>90</v>
      </c>
      <c r="T41" s="2721" t="s">
        <v>645</v>
      </c>
      <c r="U41" s="813"/>
      <c r="V41" s="2786" t="s">
        <v>566</v>
      </c>
      <c r="W41" s="2787"/>
      <c r="X41" s="2787"/>
      <c r="Y41" s="2787"/>
      <c r="Z41" s="2787"/>
      <c r="AA41" s="2787"/>
      <c r="AB41" s="2788"/>
      <c r="AC41" s="2789" t="s">
        <v>567</v>
      </c>
      <c r="AD41" s="2840" t="s">
        <v>646</v>
      </c>
      <c r="AE41" s="2803"/>
      <c r="AF41" s="2803"/>
      <c r="AG41" s="2841"/>
      <c r="AH41" s="2840" t="s">
        <v>647</v>
      </c>
      <c r="AI41" s="2803"/>
      <c r="AJ41" s="2803"/>
      <c r="AK41" s="2841"/>
      <c r="AL41" s="2840" t="s">
        <v>648</v>
      </c>
      <c r="AM41" s="2803"/>
      <c r="AN41" s="2803"/>
      <c r="AO41" s="2841"/>
      <c r="AP41" s="2840" t="s">
        <v>649</v>
      </c>
      <c r="AQ41" s="2803"/>
      <c r="AR41" s="2803"/>
      <c r="AS41" s="2841"/>
      <c r="AT41" s="2786" t="s">
        <v>566</v>
      </c>
      <c r="AU41" s="2787"/>
      <c r="AV41" s="2787"/>
      <c r="AW41" s="2787"/>
      <c r="AX41" s="2787"/>
      <c r="AY41" s="2787"/>
      <c r="AZ41" s="2788"/>
      <c r="BA41" s="2789" t="s">
        <v>567</v>
      </c>
      <c r="BB41" s="2792" t="s">
        <v>569</v>
      </c>
      <c r="BC41" s="2639"/>
      <c r="BI41" s="1667">
        <v>14</v>
      </c>
    </row>
    <row customHeight="1" ht="35.699999999999996">
      <c r="Q42" s="803"/>
      <c r="R42" s="888"/>
      <c r="S42" s="2785"/>
      <c r="T42" s="2721"/>
      <c r="U42" s="1543"/>
      <c r="V42" s="2704" t="s">
        <v>650</v>
      </c>
      <c r="W42" s="2705"/>
      <c r="X42" s="2704" t="s">
        <v>651</v>
      </c>
      <c r="Y42" s="2705"/>
      <c r="Z42" s="2806" t="s">
        <v>652</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650</v>
      </c>
      <c r="AU42" s="2705"/>
      <c r="AV42" s="2704" t="s">
        <v>651</v>
      </c>
      <c r="AW42" s="2705"/>
      <c r="AX42" s="2806" t="s">
        <v>652</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201</v>
      </c>
      <c r="C44" s="1882" t="s">
        <v>202</v>
      </c>
      <c r="D44" s="1882" t="s">
        <v>203</v>
      </c>
      <c r="E44" s="1876" t="s">
        <v>574</v>
      </c>
      <c r="F44" s="1876" t="s">
        <v>575</v>
      </c>
      <c r="G44" s="1876" t="s">
        <v>576</v>
      </c>
      <c r="H44" s="1876" t="s">
        <v>577</v>
      </c>
      <c r="I44" s="1876" t="s">
        <v>578</v>
      </c>
      <c r="J44" s="1876" t="s">
        <v>579</v>
      </c>
      <c r="K44" s="1876" t="s">
        <v>580</v>
      </c>
      <c r="L44" s="1876" t="s">
        <v>555</v>
      </c>
      <c r="Q44" s="803"/>
      <c r="R44" s="888"/>
      <c r="S44" s="2785"/>
      <c r="T44" s="2721"/>
      <c r="U44" s="814"/>
      <c r="V44" s="1991" t="s">
        <v>614</v>
      </c>
      <c r="W44" s="1991" t="s">
        <v>615</v>
      </c>
      <c r="X44" s="1991" t="s">
        <v>614</v>
      </c>
      <c r="Y44" s="1991" t="s">
        <v>615</v>
      </c>
      <c r="Z44" s="2001" t="s">
        <v>583</v>
      </c>
      <c r="AA44" s="2782" t="s">
        <v>584</v>
      </c>
      <c r="AB44" s="2783"/>
      <c r="AC44" s="2791"/>
      <c r="AD44" s="2845"/>
      <c r="AE44" s="2846"/>
      <c r="AF44" s="2846"/>
      <c r="AG44" s="2847"/>
      <c r="AH44" s="2845"/>
      <c r="AI44" s="2846"/>
      <c r="AJ44" s="2846"/>
      <c r="AK44" s="2847"/>
      <c r="AL44" s="2845"/>
      <c r="AM44" s="2846"/>
      <c r="AN44" s="2846"/>
      <c r="AO44" s="2847"/>
      <c r="AP44" s="2845"/>
      <c r="AQ44" s="2846"/>
      <c r="AR44" s="2846"/>
      <c r="AS44" s="2847"/>
      <c r="AT44" s="1991" t="s">
        <v>614</v>
      </c>
      <c r="AU44" s="1991" t="s">
        <v>615</v>
      </c>
      <c r="AV44" s="1991" t="s">
        <v>614</v>
      </c>
      <c r="AW44" s="1991" t="s">
        <v>615</v>
      </c>
      <c r="AX44" s="2001" t="s">
        <v>583</v>
      </c>
      <c r="AY44" s="2782" t="s">
        <v>584</v>
      </c>
      <c r="AZ44" s="2783"/>
      <c r="BA44" s="2791"/>
      <c r="BB44" s="2794"/>
      <c r="BC44" s="2639"/>
      <c r="BI44" s="1667">
        <v>14</v>
      </c>
    </row>
    <row s="51564" customFormat="1" customHeight="1" ht="0">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400</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189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400</v>
      </c>
      <c r="B47" s="1875" t="s">
        <v>401</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536</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537</v>
      </c>
      <c r="BE47" s="1012"/>
      <c r="BF47" s="1012" t="str">
        <f>IF(T47="","",T47)</f>
        <v>Территория действия тарифа</v>
      </c>
      <c r="BG47" s="1012"/>
      <c r="BH47" s="1012"/>
      <c r="BI47" s="1667">
        <v>21</v>
      </c>
    </row>
    <row customHeight="1" ht="35.699999999999996">
      <c r="A48" s="1875" t="s">
        <v>400</v>
      </c>
      <c r="B48" s="1875" t="s">
        <v>401</v>
      </c>
      <c r="C48" s="1875" t="s">
        <v>402</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668</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669</v>
      </c>
      <c r="BE48" s="1012"/>
      <c r="BF48" s="1012" t="str">
        <f>IF(T48="","",T48)</f>
        <v>Наименование централизованной системы горячего водоснабжения</v>
      </c>
      <c r="BG48" s="1012"/>
      <c r="BH48" s="1012"/>
      <c r="BI48" s="1667">
        <v>34</v>
      </c>
    </row>
    <row s="50882" customFormat="1" customHeight="1" ht="0">
      <c r="A49" s="1855" t="s">
        <v>400</v>
      </c>
      <c r="B49" s="1855" t="s">
        <v>401</v>
      </c>
      <c r="C49" s="1855" t="s">
        <v>402</v>
      </c>
      <c r="D49" s="1855" t="s">
        <v>682</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541</v>
      </c>
      <c r="BE49" s="1012"/>
      <c r="BF49" s="1012" t="str">
        <f>IF(T49="","",T49)</f>
        <v/>
      </c>
      <c r="BG49" s="1012"/>
      <c r="BH49" s="1012"/>
      <c r="BI49" s="1023">
        <v>0</v>
      </c>
    </row>
    <row s="50882" customFormat="1" customHeight="1" ht="0">
      <c r="A50" s="1855" t="s">
        <v>400</v>
      </c>
      <c r="B50" s="1855" t="s">
        <v>401</v>
      </c>
      <c r="C50" s="1855" t="s">
        <v>402</v>
      </c>
      <c r="D50" s="1855" t="s">
        <v>682</v>
      </c>
      <c r="E50" s="2771"/>
      <c r="F50" s="2771"/>
      <c r="G50" s="2771"/>
      <c r="H50" s="2771"/>
      <c r="I50" s="2768" t="str">
        <f>S49&amp;".1"</f>
        <v>.1</v>
      </c>
      <c r="J50" s="1855"/>
      <c r="K50" s="1855"/>
      <c r="L50" s="1858" t="s">
        <v>542</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50882" customFormat="1" customHeight="1" ht="0">
      <c r="A51" s="1855" t="s">
        <v>400</v>
      </c>
      <c r="B51" s="1855" t="s">
        <v>401</v>
      </c>
      <c r="C51" s="1855" t="s">
        <v>402</v>
      </c>
      <c r="D51" s="1855" t="s">
        <v>682</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400</v>
      </c>
      <c r="B52" s="1875" t="s">
        <v>401</v>
      </c>
      <c r="C52" s="1875" t="s">
        <v>402</v>
      </c>
      <c r="D52" s="1875" t="s">
        <v>682</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63</v>
      </c>
      <c r="AB52" s="2246"/>
      <c r="AC52" s="198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98">
        <v>1</v>
      </c>
      <c r="AS52" s="2004" t="s">
        <v>28</v>
      </c>
      <c r="AT52" s="1263"/>
      <c r="AU52" s="1769"/>
      <c r="AV52" s="1263"/>
      <c r="AW52" s="1769"/>
      <c r="AX52" s="2246"/>
      <c r="AY52" s="1981" t="s">
        <v>63</v>
      </c>
      <c r="AZ52" s="2246"/>
      <c r="BA52" s="1981" t="s">
        <v>63</v>
      </c>
      <c r="BB52" s="1860"/>
      <c r="BC52" s="2765" t="s">
        <v>639</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640</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400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641</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400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642</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400</v>
      </c>
      <c r="B56" s="1875" t="s">
        <v>401</v>
      </c>
      <c r="C56" s="1875" t="s">
        <v>402</v>
      </c>
      <c r="D56" s="1875" t="s">
        <v>682</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643</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400</v>
      </c>
      <c r="B57" s="1875" t="s">
        <v>401</v>
      </c>
      <c r="C57" s="1875" t="s">
        <v>402</v>
      </c>
      <c r="D57" s="1875" t="s">
        <v>682</v>
      </c>
      <c r="E57" s="2771"/>
      <c r="F57" s="2771"/>
      <c r="G57" s="2771"/>
      <c r="H57" s="2771"/>
      <c r="I57" s="2798"/>
      <c r="J57" s="2768"/>
      <c r="K57" s="1875"/>
      <c r="L57" s="1876"/>
      <c r="P57" s="2769"/>
      <c r="Q57" s="2769"/>
      <c r="R57" s="868"/>
      <c r="S57" s="1790"/>
      <c r="T57" s="799" t="s">
        <v>604</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50882" customFormat="1" customHeight="1" ht="0">
      <c r="A58" s="1855" t="s">
        <v>400</v>
      </c>
      <c r="B58" s="1855" t="s">
        <v>401</v>
      </c>
      <c r="C58" s="1855" t="s">
        <v>402</v>
      </c>
      <c r="D58" s="1855" t="s">
        <v>682</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50882" customFormat="1" customHeight="1" ht="0">
      <c r="A59" s="1855" t="s">
        <v>400</v>
      </c>
      <c r="B59" s="1855" t="s">
        <v>401</v>
      </c>
      <c r="C59" s="1855" t="s">
        <v>402</v>
      </c>
      <c r="D59" s="1855" t="s">
        <v>682</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50882" customFormat="1" customHeight="1" ht="0">
      <c r="A60" s="1855" t="s">
        <v>400</v>
      </c>
      <c r="B60" s="1855" t="s">
        <v>401</v>
      </c>
      <c r="C60" s="1855" t="s">
        <v>402</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50882" customFormat="1" customHeight="1" ht="0">
      <c r="A61" s="1855" t="s">
        <v>400</v>
      </c>
      <c r="B61" s="1855" t="s">
        <v>401</v>
      </c>
      <c r="C61" s="1826"/>
      <c r="D61" s="1826"/>
      <c r="E61" s="2771"/>
      <c r="F61" s="2770"/>
      <c r="G61" s="1826"/>
      <c r="H61" s="1826"/>
      <c r="I61" s="1826"/>
      <c r="J61" s="1826"/>
      <c r="K61" s="1826"/>
      <c r="L61" s="2006"/>
      <c r="M61" s="1833"/>
      <c r="N61" s="1833"/>
      <c r="P61" s="1828"/>
      <c r="Q61" s="1829"/>
      <c r="R61" s="1828"/>
      <c r="S61" s="1834"/>
      <c r="T61" s="1837" t="s">
        <v>290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50882" customFormat="1" customHeight="1" ht="0">
      <c r="A62" s="1855" t="s">
        <v>400</v>
      </c>
      <c r="B62" s="1855"/>
      <c r="C62" s="1855"/>
      <c r="D62" s="1855"/>
      <c r="E62" s="2770"/>
      <c r="F62" s="1855"/>
      <c r="G62" s="1855"/>
      <c r="H62" s="1855"/>
      <c r="I62" s="1855"/>
      <c r="J62" s="1855"/>
      <c r="K62" s="1855"/>
      <c r="L62" s="1858"/>
      <c r="M62" s="1833"/>
      <c r="N62" s="1833"/>
      <c r="O62" s="1030"/>
      <c r="P62" s="892"/>
      <c r="Q62" s="1856"/>
      <c r="R62" s="892"/>
      <c r="S62" s="1834"/>
      <c r="T62" s="1837" t="s">
        <v>365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50882"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366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59ACD3-DE54-F252-B337-6C0C10222ECC}" mc:Ignorable="x14ac xr xr2 xr3">
  <sheetPr>
    <tabColor theme="9" tint="-0.25"/>
  </sheetPr>
  <dimension ref="A1:AF303"/>
  <sheetViews>
    <sheetView topLeftCell="A1" showGridLines="0" zoomScale="90" workbookViewId="0">
      <selection activeCell="A1" sqref="A1"/>
    </sheetView>
  </sheetViews>
  <sheetFormatPr defaultColWidth="9.140625" customHeight="1" defaultRowHeight="11.25"/>
  <cols>
    <col min="1" max="1" style="60344" width="10.7109375" hidden="1" customWidth="1"/>
    <col min="2" max="2" style="50881" width="16.8515625" hidden="1" customWidth="1"/>
    <col min="3" max="3" style="50882" width="5.57421875" hidden="1" customWidth="1"/>
    <col min="4" max="4" style="50801" width="3.00390625" customWidth="1"/>
    <col min="5" max="5" style="50801" width="7.00390625" customWidth="1"/>
    <col min="6" max="6" style="50801" width="54.00390625" customWidth="1"/>
    <col min="7" max="7" style="50801" width="10.00390625" customWidth="1"/>
    <col min="8" max="8" style="50801" width="40.7109375" hidden="1" customWidth="1"/>
    <col min="9" max="9" style="50801" width="40.7109375" customWidth="1"/>
    <col min="10" max="10" style="50801" width="102.00390625" customWidth="1"/>
    <col min="11" max="11" style="50881" width="9.00390625" customWidth="1"/>
    <col min="12" max="12" style="50882" width="5.00390625" customWidth="1"/>
    <col min="13" max="13" style="50882" width="3.00390625" customWidth="1"/>
    <col min="14" max="17" style="50881" width="3.00390625" customWidth="1"/>
    <col min="18" max="18" style="50882" width="10.00390625" customWidth="1"/>
    <col min="19" max="19" style="50881" width="34.00390625" customWidth="1"/>
    <col min="20" max="20" style="50881" width="9.00390625" customWidth="1"/>
    <col min="21" max="21" style="60345" width="8.00390625" customWidth="1"/>
    <col min="22" max="26" style="50881" width="8.00390625" customWidth="1"/>
    <col min="27" max="31" style="50765" width="8.00390625" customWidth="1"/>
    <col min="32" max="32" style="50801" width="9.140625" hidden="1"/>
  </cols>
  <sheetData>
    <row customHeight="1" ht="22.5" hidden="1">
      <c r="AF1" s="2143" t="s">
        <v>14</v>
      </c>
    </row>
    <row customHeight="1" ht="23.25" hidden="1">
      <c r="B2" s="2611"/>
      <c r="C2" s="1679" t="s">
        <v>683</v>
      </c>
      <c r="D2" s="2150"/>
      <c r="E2" s="1058">
        <f>B2</f>
        <v>0</v>
      </c>
      <c r="F2" s="1059"/>
      <c r="G2" s="2158" t="s">
        <v>684</v>
      </c>
      <c r="H2" s="2158" t="s">
        <v>684</v>
      </c>
      <c r="I2" s="2158" t="s">
        <v>684</v>
      </c>
      <c r="J2" s="801" t="s">
        <v>685</v>
      </c>
      <c r="K2" s="1055"/>
      <c r="AF2" s="2143">
        <v>0</v>
      </c>
    </row>
    <row s="50882" customFormat="1" customHeight="1" ht="0.75" hidden="1">
      <c r="B3" s="2611"/>
      <c r="C3" s="1679"/>
      <c r="D3" s="1060"/>
      <c r="E3" s="1061"/>
      <c r="F3" s="1062" t="s">
        <v>686</v>
      </c>
      <c r="G3" s="1063"/>
      <c r="H3" s="1063">
        <f>H4*H5+H7</f>
        <v>0</v>
      </c>
      <c r="I3" s="1063">
        <f>I4*I5+I6</f>
        <v>0</v>
      </c>
      <c r="J3" s="1064"/>
      <c r="AF3" s="2148">
        <v>0</v>
      </c>
    </row>
    <row customHeight="1" ht="23.25" hidden="1">
      <c r="B4" s="2611"/>
      <c r="C4" s="1679"/>
      <c r="D4" s="2150"/>
      <c r="E4" s="1058" t="str">
        <f>B2&amp;".1"</f>
        <v>.1</v>
      </c>
      <c r="F4" s="1065" t="s">
        <v>687</v>
      </c>
      <c r="G4" s="1066"/>
      <c r="H4" s="1053"/>
      <c r="I4" s="1053"/>
      <c r="J4" s="801" t="s">
        <v>688</v>
      </c>
      <c r="K4" s="1055"/>
      <c r="AF4" s="2143">
        <v>0</v>
      </c>
    </row>
    <row customHeight="1" ht="18.75" hidden="1">
      <c r="B5" s="2611"/>
      <c r="C5" s="1679"/>
      <c r="D5" s="2150"/>
      <c r="E5" s="1058" t="str">
        <f>B2&amp;".2"</f>
        <v>.2</v>
      </c>
      <c r="F5" s="1065" t="s">
        <v>689</v>
      </c>
      <c r="G5" s="2158" t="s">
        <v>690</v>
      </c>
      <c r="H5" s="1053"/>
      <c r="I5" s="1053"/>
      <c r="J5" s="801"/>
      <c r="K5" s="1055"/>
      <c r="AF5" s="2143">
        <v>0</v>
      </c>
    </row>
    <row customHeight="1" ht="18.75" hidden="1">
      <c r="B6" s="2611"/>
      <c r="C6" s="1679"/>
      <c r="D6" s="2150"/>
      <c r="E6" s="1058" t="str">
        <f>B2&amp;".3"</f>
        <v>.3</v>
      </c>
      <c r="F6" s="1065" t="s">
        <v>691</v>
      </c>
      <c r="G6" s="2158" t="s">
        <v>690</v>
      </c>
      <c r="H6" s="1053"/>
      <c r="I6" s="1053"/>
      <c r="J6" s="801"/>
      <c r="K6" s="1055"/>
      <c r="AF6" s="2143">
        <v>0</v>
      </c>
    </row>
    <row customHeight="1" ht="18.75" hidden="1">
      <c r="B7" s="2611"/>
      <c r="C7" s="1679"/>
      <c r="D7" s="2150"/>
      <c r="E7" s="1058" t="str">
        <f>B2&amp;".4"</f>
        <v>.4</v>
      </c>
      <c r="F7" s="1065" t="s">
        <v>692</v>
      </c>
      <c r="G7" s="2158" t="s">
        <v>684</v>
      </c>
      <c r="H7" s="1067"/>
      <c r="I7" s="1067"/>
      <c r="J7" s="801"/>
      <c r="K7" s="1055"/>
      <c r="AF7" s="2143">
        <v>0</v>
      </c>
    </row>
    <row s="50881" customFormat="1" customHeight="1" ht="11.25" hidden="1">
      <c r="A8" s="1499"/>
      <c r="C8" s="2148"/>
      <c r="D8" s="1049"/>
      <c r="H8" s="1672">
        <v>4</v>
      </c>
      <c r="I8" s="1672">
        <v>4</v>
      </c>
      <c r="L8" s="2148"/>
      <c r="M8" s="2148"/>
      <c r="R8" s="2148"/>
      <c r="AF8" s="1672">
        <v>0</v>
      </c>
    </row>
    <row s="50881" customFormat="1" customHeight="1" ht="22.5" hidden="1">
      <c r="A9" s="1499"/>
      <c r="C9" s="2148"/>
      <c r="D9" s="1050"/>
      <c r="E9" s="2160"/>
      <c r="F9" s="1052"/>
      <c r="G9" s="2158" t="s">
        <v>690</v>
      </c>
      <c r="H9" s="1053"/>
      <c r="I9" s="1053"/>
      <c r="J9" s="1054" t="s">
        <v>693</v>
      </c>
      <c r="K9" s="1055"/>
      <c r="L9" s="2148"/>
      <c r="M9" s="2148"/>
      <c r="R9" s="2148"/>
      <c r="U9" s="1056"/>
      <c r="AA9" s="2144"/>
      <c r="AB9" s="2144"/>
      <c r="AC9" s="2144"/>
      <c r="AD9" s="2144"/>
      <c r="AE9" s="2144"/>
      <c r="AF9" s="1672">
        <v>0</v>
      </c>
    </row>
    <row customHeight="1" ht="11.25" hidden="1">
      <c r="AF10" s="2143">
        <v>0</v>
      </c>
    </row>
    <row customHeight="1" ht="18.75" hidden="1">
      <c r="D11" s="2150"/>
      <c r="E11" s="1058"/>
      <c r="F11" s="1052"/>
      <c r="G11" s="2158" t="s">
        <v>694</v>
      </c>
      <c r="H11" s="1053"/>
      <c r="I11" s="1053"/>
      <c r="J11" s="801" t="s">
        <v>695</v>
      </c>
      <c r="K11" s="1055"/>
      <c r="AF11" s="2143">
        <v>0</v>
      </c>
    </row>
    <row customHeight="1" ht="11.25" hidden="1">
      <c r="AF12" s="2143">
        <v>0</v>
      </c>
    </row>
    <row customHeight="1" ht="22.5" hidden="1">
      <c r="D13" s="2150"/>
      <c r="E13" s="1058"/>
      <c r="F13" s="1052"/>
      <c r="G13" s="1481" t="s">
        <v>696</v>
      </c>
      <c r="H13" s="1057"/>
      <c r="I13" s="1057"/>
      <c r="J13" s="1257" t="s">
        <v>697</v>
      </c>
      <c r="K13" s="1055"/>
      <c r="AF13" s="2143">
        <v>0</v>
      </c>
    </row>
    <row customHeight="1" ht="11.25" hidden="1">
      <c r="AF14" s="2143">
        <v>0</v>
      </c>
    </row>
    <row customHeight="1" ht="22.5" hidden="1">
      <c r="D15" s="2150"/>
      <c r="E15" s="1058"/>
      <c r="F15" s="1052"/>
      <c r="G15" s="2158" t="s">
        <v>698</v>
      </c>
      <c r="H15" s="1057"/>
      <c r="I15" s="1057"/>
      <c r="J15" s="801" t="s">
        <v>699</v>
      </c>
      <c r="K15" s="1055"/>
      <c r="AF15" s="2143">
        <v>0</v>
      </c>
    </row>
    <row customHeight="1" ht="11.25" hidden="1">
      <c r="AF16" s="2143">
        <v>0</v>
      </c>
    </row>
    <row customHeight="1" ht="22.5" hidden="1">
      <c r="D17" s="2150"/>
      <c r="E17" s="1058"/>
      <c r="F17" s="1052"/>
      <c r="G17" s="2158" t="s">
        <v>700</v>
      </c>
      <c r="H17" s="1057"/>
      <c r="I17" s="1057"/>
      <c r="J17" s="801" t="s">
        <v>701</v>
      </c>
      <c r="K17" s="1055"/>
      <c r="AF17" s="2143">
        <v>0</v>
      </c>
    </row>
    <row customHeight="1" ht="11.25" hidden="1">
      <c r="AF18" s="2143">
        <v>0</v>
      </c>
    </row>
    <row s="50765" customFormat="1" customHeight="1" ht="11.25" hidden="1">
      <c r="A19" s="1499"/>
      <c r="B19" s="1672"/>
      <c r="C19" s="2148"/>
      <c r="D19" s="874"/>
      <c r="J19" s="2144">
        <v>4</v>
      </c>
      <c r="K19" s="1672"/>
      <c r="L19" s="2148"/>
      <c r="M19" s="2148"/>
      <c r="N19" s="1672"/>
      <c r="O19" s="1672"/>
      <c r="P19" s="1672"/>
      <c r="Q19" s="1672"/>
      <c r="R19" s="2148"/>
      <c r="S19" s="1672"/>
      <c r="T19" s="1672"/>
      <c r="U19" s="1056"/>
      <c r="V19" s="1672"/>
      <c r="W19" s="1672"/>
      <c r="X19" s="1672"/>
      <c r="Y19" s="1672"/>
      <c r="Z19" s="1672"/>
      <c r="AF19" s="2144">
        <v>0</v>
      </c>
    </row>
    <row customHeight="1" ht="11.549999999999999">
      <c r="AF20" s="2143">
        <v>11</v>
      </c>
    </row>
    <row customHeight="1" ht="25.2">
      <c r="E21" s="276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60"/>
      <c r="G21" s="2760"/>
      <c r="H21" s="2760"/>
      <c r="I21" s="2760"/>
      <c r="J21" s="1068"/>
      <c r="AF21" s="2143">
        <v>24</v>
      </c>
    </row>
    <row customHeight="1" ht="25.2">
      <c r="E22" s="2761" t="str">
        <f>IF(org=0,"Не определено",org)</f>
        <v>КГУП "Примтеплоэнерго"</v>
      </c>
      <c r="F22" s="2761"/>
      <c r="G22" s="2761"/>
      <c r="H22" s="2761"/>
      <c r="I22" s="2761"/>
      <c r="AF22" s="2143">
        <v>24</v>
      </c>
    </row>
    <row customHeight="1" ht="11.549999999999999">
      <c r="E23" s="1647"/>
      <c r="F23" s="1647"/>
      <c r="G23" s="1647"/>
      <c r="H23" s="1647"/>
      <c r="I23" s="1647"/>
      <c r="AF23" s="2143">
        <v>11</v>
      </c>
    </row>
    <row s="50882" customFormat="1" customHeight="1" ht="1.05">
      <c r="A24" s="1679"/>
      <c r="D24" s="2154"/>
      <c r="H24" s="1401"/>
      <c r="I24" s="1401" t="s">
        <v>183</v>
      </c>
      <c r="AF24" s="2148">
        <v>1</v>
      </c>
    </row>
    <row customHeight="1" ht="11.549999999999999">
      <c r="E25" s="1223"/>
      <c r="F25" s="2879" t="s">
        <v>175</v>
      </c>
      <c r="G25" s="2880"/>
      <c r="H25" s="2164" t="str">
        <f>IF(H24="","",INDEX(DIFFERENTIATION_UNMERGE_VD,MATCH(H24,DIFFERENTIATION_ID_DIFF,0)))</f>
        <v/>
      </c>
      <c r="I25" s="2164">
        <f>IF(I24="","",INDEX(DIFFERENTIATION_UNMERGE_VD,MATCH(I24,DIFFERENTIATION_ID_DIFF,0)))</f>
        <v>0</v>
      </c>
      <c r="J25" s="2639"/>
      <c r="AF25" s="2143">
        <v>11</v>
      </c>
    </row>
    <row customHeight="1" ht="11.549999999999999">
      <c r="E26" s="1223"/>
      <c r="F26" s="2879" t="s">
        <v>702</v>
      </c>
      <c r="G26" s="2880"/>
      <c r="H26" s="2164" t="str">
        <f>IF(H24="","",INDEX(DIFFERENTIATION_UNMERGE_AREA,MATCH(H24,DIFFERENTIATION_ID_DIFF,0)))</f>
        <v/>
      </c>
      <c r="I26" s="2164" t="str">
        <f>IF(I24="","",INDEX(DIFFERENTIATION_UNMERGE_AREA,MATCH(I24,DIFFERENTIATION_ID_DIFF,0)))</f>
        <v/>
      </c>
      <c r="J26" s="2639"/>
      <c r="AF26" s="2143">
        <v>11</v>
      </c>
    </row>
    <row customHeight="1" ht="11.549999999999999">
      <c r="E27" s="1223"/>
      <c r="F27" s="2879" t="s">
        <v>703</v>
      </c>
      <c r="G27" s="2880"/>
      <c r="H27" s="2164" t="str">
        <f>IF(H24="","",INDEX(DIFFERENTIATION_UNMERGE_SYSTEM,MATCH(H24,DIFFERENTIATION_ID_DIFF,0)))</f>
        <v/>
      </c>
      <c r="I27" s="2164" t="str">
        <f>IF(I24="","",INDEX(DIFFERENTIATION_UNMERGE_SYSTEM,MATCH(I24,DIFFERENTIATION_ID_DIFF,0)))</f>
        <v>без дифференциации</v>
      </c>
      <c r="J27" s="2639"/>
      <c r="AF27" s="2143">
        <v>11</v>
      </c>
    </row>
    <row customHeight="1" ht="11.549999999999999">
      <c r="E28" s="2881" t="s">
        <v>439</v>
      </c>
      <c r="F28" s="2882"/>
      <c r="G28" s="2882"/>
      <c r="H28" s="2157"/>
      <c r="I28" s="2157"/>
      <c r="J28" s="2639"/>
      <c r="AF28" s="2143">
        <v>11</v>
      </c>
    </row>
    <row customHeight="1" ht="24">
      <c r="E29" s="2158" t="s">
        <v>90</v>
      </c>
      <c r="F29" s="2165" t="s">
        <v>441</v>
      </c>
      <c r="G29" s="2165" t="s">
        <v>704</v>
      </c>
      <c r="H29" s="2165" t="s">
        <v>442</v>
      </c>
      <c r="I29" s="2165" t="s">
        <v>442</v>
      </c>
      <c r="J29" s="2639"/>
      <c r="AF29" s="2143">
        <v>23</v>
      </c>
    </row>
    <row customHeight="1" ht="19.95">
      <c r="D30" s="2150"/>
      <c r="E30" s="1058">
        <f>FHD_NUM_P_1</f>
        <v>1</v>
      </c>
      <c r="F30" s="2392" t="str">
        <f>FHD_P_1</f>
        <v>Выручка от регулируемых видов деятельности в сфере холодного водоснабжения</v>
      </c>
      <c r="G30" s="2390" t="s">
        <v>690</v>
      </c>
      <c r="H30" s="1069"/>
      <c r="I30" s="1069"/>
      <c r="J30" s="801" t="str">
        <f>FHD_NOTE_P_1</f>
        <v>Указывается выручка с распределением по видам деятельности.</v>
      </c>
      <c r="K30" s="1055"/>
      <c r="AF30" s="2143">
        <v>19</v>
      </c>
    </row>
    <row customHeight="1" ht="11.549999999999999">
      <c r="D31" s="2150"/>
      <c r="E31" s="1058">
        <f>FHD_NUM_P_2</f>
        <v>2</v>
      </c>
      <c r="F31" s="2392" t="str">
        <f>FHD_P_2</f>
        <v>Себестоимость производимых товаров (оказываемых услуг) по регулируемым видам деятельности в сфере холодного водоснабжения, включая:</v>
      </c>
      <c r="G31" s="2390" t="s">
        <v>690</v>
      </c>
      <c r="H31" s="1070">
        <f>SUMIF($K33:$K71,$K31,H33:H71)</f>
        <v>0</v>
      </c>
      <c r="I31" s="1070">
        <f>SUMIF($K33:$K71,$K31,I33:I71)</f>
        <v>0</v>
      </c>
      <c r="J31" s="801" t="str">
        <f>FHD_NOTE_P_2</f>
        <v>Указывается суммарная себестоимость производимых товаров.</v>
      </c>
      <c r="K31" s="2148" t="s">
        <v>705</v>
      </c>
      <c r="AF31" s="2143">
        <v>11</v>
      </c>
    </row>
    <row customHeight="1" ht="11.549999999999999">
      <c r="D32" s="2150"/>
      <c r="E32" s="1058" t="str">
        <f>FHD_NUM_P_3</f>
        <v>2.1</v>
      </c>
      <c r="F32" s="2036" t="str">
        <f>FHD_P_3</f>
        <v>Расходы на оплату холодной воды, приобретаемой у других организаций для последующей подачи потребителям</v>
      </c>
      <c r="G32" s="2390" t="s">
        <v>690</v>
      </c>
      <c r="H32" s="1069"/>
      <c r="I32" s="1069"/>
      <c r="J32" s="801" t="str">
        <f>FHD_NOTE_P_3</f>
        <v/>
      </c>
      <c r="K32" s="2148" t="str">
        <f>IF((LEN(E32)-LEN(SUBSTITUTE(E32,".","")))/LEN(".")=1,"p","")</f>
        <v>p</v>
      </c>
      <c r="AF32" s="2143">
        <v>11</v>
      </c>
    </row>
    <row customHeight="1" ht="11.25" hidden="1">
      <c r="A33" s="2883" t="s">
        <v>706</v>
      </c>
      <c r="D33" s="2150"/>
      <c r="E33" s="1058" t="str">
        <f>FHD_NUM_P_4</f>
        <v/>
      </c>
      <c r="F33" s="2036" t="str">
        <f>FHD_P_4</f>
        <v/>
      </c>
      <c r="G33" s="2390" t="s">
        <v>690</v>
      </c>
      <c r="H33" s="1070">
        <f>SUMIF($F34:$F40,$F3,H34:H40)</f>
        <v>0</v>
      </c>
      <c r="I33" s="1070">
        <f>SUMIF($F34:$F40,$F3,I34:I40)</f>
        <v>0</v>
      </c>
      <c r="J33" s="801" t="str">
        <f>FHD_NOTE_P_4</f>
        <v/>
      </c>
      <c r="K33" s="2148" t="str">
        <f>IF((LEN(E33)-LEN(SUBSTITUTE(E33,".","")))/LEN(".")=1,"p","")</f>
        <v/>
      </c>
      <c r="AF33" s="2143">
        <v>0</v>
      </c>
    </row>
    <row s="51564" customFormat="1" customHeight="1" ht="0.75" hidden="1">
      <c r="A34" s="2883"/>
      <c r="B34" s="2884" t="str">
        <f>E33&amp;".0"</f>
        <v>.0</v>
      </c>
      <c r="C34" s="1679"/>
      <c r="D34" s="1072"/>
      <c r="E34" s="1073"/>
      <c r="F34" s="1074"/>
      <c r="G34" s="1075"/>
      <c r="H34" s="1009"/>
      <c r="I34" s="1009"/>
      <c r="J34" s="1076"/>
      <c r="K34" s="2148" t="str">
        <f>IF((LEN(E34)-LEN(SUBSTITUTE(E34,".","")))/LEN(".")=1,"p","")</f>
        <v/>
      </c>
      <c r="L34" s="2148"/>
      <c r="M34" s="2148"/>
      <c r="N34" s="2148"/>
      <c r="O34" s="2148"/>
      <c r="P34" s="2148"/>
      <c r="Q34" s="2148"/>
      <c r="R34" s="2148"/>
      <c r="S34" s="2148"/>
      <c r="T34" s="2148"/>
      <c r="U34" s="1077"/>
      <c r="V34" s="2148"/>
      <c r="W34" s="2148"/>
      <c r="X34" s="2148"/>
      <c r="Y34" s="2148"/>
      <c r="Z34" s="2148"/>
      <c r="AA34" s="1078"/>
      <c r="AB34" s="1078"/>
      <c r="AC34" s="1078"/>
      <c r="AD34" s="1078"/>
      <c r="AE34" s="1078"/>
      <c r="AF34" s="2153">
        <v>0</v>
      </c>
    </row>
    <row s="51564" customFormat="1" customHeight="1" ht="0.75" hidden="1">
      <c r="A35" s="2883"/>
      <c r="B35" s="2884"/>
      <c r="C35" s="1679"/>
      <c r="D35" s="1072"/>
      <c r="E35" s="1079"/>
      <c r="F35" s="1080"/>
      <c r="G35" s="1075"/>
      <c r="H35" s="1081"/>
      <c r="I35" s="1081"/>
      <c r="J35" s="1076"/>
      <c r="K35" s="2148" t="str">
        <f>IF((LEN(E35)-LEN(SUBSTITUTE(E35,".","")))/LEN(".")=1,"p","")</f>
        <v/>
      </c>
      <c r="L35" s="2148"/>
      <c r="M35" s="2148"/>
      <c r="N35" s="2148"/>
      <c r="O35" s="2148"/>
      <c r="P35" s="2148"/>
      <c r="Q35" s="2148"/>
      <c r="R35" s="2148"/>
      <c r="S35" s="2148"/>
      <c r="T35" s="2148"/>
      <c r="U35" s="1077"/>
      <c r="V35" s="2148"/>
      <c r="W35" s="2148"/>
      <c r="X35" s="2148"/>
      <c r="Y35" s="2148"/>
      <c r="Z35" s="2148"/>
      <c r="AA35" s="1078"/>
      <c r="AB35" s="1078"/>
      <c r="AC35" s="1078"/>
      <c r="AD35" s="1078"/>
      <c r="AE35" s="1078"/>
      <c r="AF35" s="2153">
        <v>0</v>
      </c>
    </row>
    <row s="51564" customFormat="1" customHeight="1" ht="0.75" hidden="1">
      <c r="A36" s="2883"/>
      <c r="B36" s="2884"/>
      <c r="C36" s="1679"/>
      <c r="D36" s="1072"/>
      <c r="E36" s="1079"/>
      <c r="F36" s="1080"/>
      <c r="G36" s="1075"/>
      <c r="H36" s="1081"/>
      <c r="I36" s="1081"/>
      <c r="J36" s="1076"/>
      <c r="K36" s="2148" t="str">
        <f>IF((LEN(E36)-LEN(SUBSTITUTE(E36,".","")))/LEN(".")=1,"p","")</f>
        <v/>
      </c>
      <c r="L36" s="2148"/>
      <c r="M36" s="2148"/>
      <c r="N36" s="2148"/>
      <c r="O36" s="2148"/>
      <c r="P36" s="2148"/>
      <c r="Q36" s="2148"/>
      <c r="R36" s="2148"/>
      <c r="S36" s="2148"/>
      <c r="T36" s="2148"/>
      <c r="U36" s="1077"/>
      <c r="V36" s="2148"/>
      <c r="W36" s="2148"/>
      <c r="X36" s="2148"/>
      <c r="Y36" s="2148"/>
      <c r="Z36" s="2148"/>
      <c r="AA36" s="1078"/>
      <c r="AB36" s="1078"/>
      <c r="AC36" s="1078"/>
      <c r="AD36" s="1078"/>
      <c r="AE36" s="1078"/>
      <c r="AF36" s="2153">
        <v>0</v>
      </c>
    </row>
    <row s="51564" customFormat="1" customHeight="1" ht="0.75" hidden="1">
      <c r="A37" s="2883"/>
      <c r="B37" s="2884"/>
      <c r="C37" s="1679"/>
      <c r="D37" s="1072"/>
      <c r="E37" s="1079"/>
      <c r="F37" s="1080"/>
      <c r="G37" s="1075"/>
      <c r="H37" s="1081"/>
      <c r="I37" s="1081"/>
      <c r="J37" s="1076"/>
      <c r="K37" s="2148" t="str">
        <f>IF((LEN(E37)-LEN(SUBSTITUTE(E37,".","")))/LEN(".")=1,"p","")</f>
        <v/>
      </c>
      <c r="L37" s="2148"/>
      <c r="M37" s="2148"/>
      <c r="N37" s="2148"/>
      <c r="O37" s="2148"/>
      <c r="P37" s="2148"/>
      <c r="Q37" s="2148"/>
      <c r="R37" s="2148"/>
      <c r="S37" s="2148"/>
      <c r="T37" s="2148"/>
      <c r="U37" s="1077"/>
      <c r="V37" s="2148"/>
      <c r="W37" s="2148"/>
      <c r="X37" s="2148"/>
      <c r="Y37" s="2148"/>
      <c r="Z37" s="2148"/>
      <c r="AA37" s="1078"/>
      <c r="AB37" s="1078"/>
      <c r="AC37" s="1078"/>
      <c r="AD37" s="1078"/>
      <c r="AE37" s="1078"/>
      <c r="AF37" s="2153">
        <v>0</v>
      </c>
    </row>
    <row s="51564" customFormat="1" customHeight="1" ht="0.75" hidden="1">
      <c r="A38" s="2883"/>
      <c r="B38" s="2884"/>
      <c r="C38" s="1679"/>
      <c r="D38" s="1072"/>
      <c r="E38" s="1079"/>
      <c r="F38" s="1080"/>
      <c r="G38" s="1075"/>
      <c r="H38" s="1081"/>
      <c r="I38" s="1081"/>
      <c r="J38" s="1076"/>
      <c r="K38" s="2148" t="str">
        <f>IF((LEN(E38)-LEN(SUBSTITUTE(E38,".","")))/LEN(".")=1,"p","")</f>
        <v/>
      </c>
      <c r="L38" s="2148"/>
      <c r="M38" s="2148"/>
      <c r="N38" s="2148"/>
      <c r="O38" s="2148"/>
      <c r="P38" s="2148"/>
      <c r="Q38" s="2148"/>
      <c r="R38" s="2148"/>
      <c r="S38" s="2148"/>
      <c r="T38" s="2148"/>
      <c r="U38" s="1077"/>
      <c r="V38" s="2148"/>
      <c r="W38" s="2148"/>
      <c r="X38" s="2148"/>
      <c r="Y38" s="2148"/>
      <c r="Z38" s="2148"/>
      <c r="AA38" s="1078"/>
      <c r="AB38" s="1078"/>
      <c r="AC38" s="1078"/>
      <c r="AD38" s="1078"/>
      <c r="AE38" s="1078"/>
      <c r="AF38" s="2153">
        <v>0</v>
      </c>
    </row>
    <row s="51564" customFormat="1" customHeight="1" ht="0.75" hidden="1">
      <c r="A39" s="2883"/>
      <c r="B39" s="2884"/>
      <c r="C39" s="1679"/>
      <c r="D39" s="1072"/>
      <c r="E39" s="1079"/>
      <c r="F39" s="1080"/>
      <c r="G39" s="1075"/>
      <c r="H39" s="1009"/>
      <c r="I39" s="1009"/>
      <c r="J39" s="1076"/>
      <c r="K39" s="2148" t="str">
        <f>IF((LEN(E39)-LEN(SUBSTITUTE(E39,".","")))/LEN(".")=1,"p","")</f>
        <v/>
      </c>
      <c r="L39" s="2148"/>
      <c r="M39" s="2148"/>
      <c r="N39" s="2148"/>
      <c r="O39" s="2148"/>
      <c r="P39" s="2148"/>
      <c r="Q39" s="2148"/>
      <c r="R39" s="2148"/>
      <c r="S39" s="2148"/>
      <c r="T39" s="2148"/>
      <c r="U39" s="1077"/>
      <c r="V39" s="2148"/>
      <c r="W39" s="2148"/>
      <c r="X39" s="2148"/>
      <c r="Y39" s="2148"/>
      <c r="Z39" s="2148"/>
      <c r="AA39" s="1078"/>
      <c r="AB39" s="1078"/>
      <c r="AC39" s="1078"/>
      <c r="AD39" s="1078"/>
      <c r="AE39" s="1078"/>
      <c r="AF39" s="2153">
        <v>0</v>
      </c>
    </row>
    <row s="50881" customFormat="1" customHeight="1" ht="15" hidden="1">
      <c r="A40" s="2883"/>
      <c r="C40" s="2148"/>
      <c r="D40" s="2145"/>
      <c r="E40" s="1082"/>
      <c r="F40" s="1083" t="s">
        <v>707</v>
      </c>
      <c r="G40" s="1084"/>
      <c r="H40" s="1085"/>
      <c r="I40" s="1085"/>
      <c r="J40" s="813"/>
      <c r="K40" s="2148" t="str">
        <f>IF((LEN(E40)-LEN(SUBSTITUTE(E40,".","")))/LEN(".")=1,"p","")</f>
        <v/>
      </c>
      <c r="L40" s="2148"/>
      <c r="M40" s="2148"/>
      <c r="R40" s="2148"/>
      <c r="U40" s="1056"/>
      <c r="AA40" s="2144"/>
      <c r="AB40" s="2144"/>
      <c r="AC40" s="2144"/>
      <c r="AD40" s="2144"/>
      <c r="AE40" s="2144"/>
      <c r="AF40" s="1672">
        <v>0</v>
      </c>
    </row>
    <row customHeight="1" ht="11.25" hidden="1">
      <c r="A41" s="2883" t="s">
        <v>708</v>
      </c>
      <c r="D41" s="2150"/>
      <c r="E41" s="1058" t="str">
        <f>FHD_NUM_P_5</f>
        <v/>
      </c>
      <c r="F41" s="2036" t="str">
        <f>FHD_P_5</f>
        <v/>
      </c>
      <c r="G41" s="2390" t="s">
        <v>690</v>
      </c>
      <c r="H41" s="1069"/>
      <c r="I41" s="1069"/>
      <c r="J41" s="801" t="str">
        <f>FHD_NOTE_P_5</f>
        <v/>
      </c>
      <c r="K41" s="2148" t="str">
        <f>IF((LEN(E41)-LEN(SUBSTITUTE(E41,".","")))/LEN(".")=1,"p","")</f>
        <v/>
      </c>
      <c r="AF41" s="2143">
        <v>0</v>
      </c>
    </row>
    <row customHeight="1" ht="11.25" hidden="1">
      <c r="A42" s="2883"/>
      <c r="D42" s="2150"/>
      <c r="E42" s="1058" t="str">
        <f>FHD_NUM_P_6</f>
        <v/>
      </c>
      <c r="F42" s="2036" t="str">
        <f>FHD_P_6</f>
        <v/>
      </c>
      <c r="G42" s="2390" t="s">
        <v>690</v>
      </c>
      <c r="H42" s="1069"/>
      <c r="I42" s="1069"/>
      <c r="J42" s="801" t="str">
        <f>FHD_NOTE_P_6</f>
        <v/>
      </c>
      <c r="K42" s="2148" t="str">
        <f>IF((LEN(E42)-LEN(SUBSTITUTE(E42,".","")))/LEN(".")=1,"p","")</f>
        <v/>
      </c>
      <c r="AF42" s="2143">
        <v>0</v>
      </c>
    </row>
    <row customHeight="1" ht="11.25" hidden="1">
      <c r="A43" s="2883"/>
      <c r="D43" s="2150"/>
      <c r="E43" s="1058" t="str">
        <f>FHD_NUM_P_7</f>
        <v/>
      </c>
      <c r="F43" s="2036" t="str">
        <f>FHD_P_7</f>
        <v/>
      </c>
      <c r="G43" s="2390" t="s">
        <v>690</v>
      </c>
      <c r="H43" s="1069"/>
      <c r="I43" s="1069"/>
      <c r="J43" s="801" t="str">
        <f>FHD_NOTE_P_7</f>
        <v/>
      </c>
      <c r="K43" s="2148" t="str">
        <f>IF((LEN(E43)-LEN(SUBSTITUTE(E43,".","")))/LEN(".")=1,"p","")</f>
        <v/>
      </c>
      <c r="AF43" s="2143">
        <v>0</v>
      </c>
    </row>
    <row customHeight="1" ht="11.549999999999999">
      <c r="D44" s="2150"/>
      <c r="E44" s="1058" t="str">
        <f>FHD_NUM_P_8</f>
        <v>2.2</v>
      </c>
      <c r="F44" s="2036" t="str">
        <f>FHD_P_8</f>
        <v>Расходы на приобретаемую электрическую энергию (мощность), используемую в технологическом процессе</v>
      </c>
      <c r="G44" s="2390" t="s">
        <v>690</v>
      </c>
      <c r="H44" s="1069"/>
      <c r="I44" s="1069"/>
      <c r="J44" s="801" t="str">
        <f>FHD_NOTE_P_8</f>
        <v/>
      </c>
      <c r="K44" s="2148" t="str">
        <f>IF((LEN(E44)-LEN(SUBSTITUTE(E44,".","")))/LEN(".")=1,"p","")</f>
        <v>p</v>
      </c>
      <c r="AF44" s="2143">
        <v>11</v>
      </c>
    </row>
    <row customHeight="1" ht="11.549999999999999">
      <c r="D45" s="2150"/>
      <c r="E45" s="1058" t="str">
        <f>FHD_NUM_P_9</f>
        <v>2.2.1</v>
      </c>
      <c r="F45" s="2162" t="str">
        <f>FHD_P_9</f>
        <v>Средневзвешенная стоимость 1 кВт.ч (с учетом мощности)</v>
      </c>
      <c r="G45" s="2390" t="s">
        <v>709</v>
      </c>
      <c r="H45" s="1069"/>
      <c r="I45" s="1069"/>
      <c r="J45" s="801" t="str">
        <f>FHD_NOTE_P_9</f>
        <v/>
      </c>
      <c r="K45" s="2148" t="str">
        <f>IF((LEN(E45)-LEN(SUBSTITUTE(E45,".","")))/LEN(".")=1,"p","")</f>
        <v/>
      </c>
      <c r="AF45" s="2143">
        <v>11</v>
      </c>
    </row>
    <row s="50881" customFormat="1" customHeight="1" ht="11.549999999999999">
      <c r="A46" s="1499"/>
      <c r="C46" s="2148"/>
      <c r="D46" s="1086"/>
      <c r="E46" s="1058" t="str">
        <f>FHD_NUM_P_10</f>
        <v>2.2.2</v>
      </c>
      <c r="F46" s="2162" t="str">
        <f>FHD_P_10</f>
        <v>Объём приобретения электрической энергии</v>
      </c>
      <c r="G46" s="2390" t="s">
        <v>710</v>
      </c>
      <c r="H46" s="1069"/>
      <c r="I46" s="1069"/>
      <c r="J46" s="801" t="str">
        <f>FHD_NOTE_P_10</f>
        <v/>
      </c>
      <c r="K46" s="2148" t="str">
        <f>IF((LEN(E46)-LEN(SUBSTITUTE(E46,".","")))/LEN(".")=1,"p","")</f>
        <v/>
      </c>
      <c r="L46" s="2148"/>
      <c r="M46" s="2148"/>
      <c r="R46" s="2148"/>
      <c r="U46" s="1056"/>
      <c r="AA46" s="2144"/>
      <c r="AB46" s="2144"/>
      <c r="AC46" s="2144"/>
      <c r="AD46" s="2144"/>
      <c r="AE46" s="2144"/>
      <c r="AF46" s="1672">
        <v>11</v>
      </c>
    </row>
    <row s="50881" customFormat="1" customHeight="1" ht="11.25" hidden="1">
      <c r="A47" s="1501" t="s">
        <v>711</v>
      </c>
      <c r="C47" s="2148"/>
      <c r="D47" s="1087"/>
      <c r="E47" s="1058" t="str">
        <f>FHD_NUM_P_11</f>
        <v/>
      </c>
      <c r="F47" s="2036" t="str">
        <f>FHD_P_11</f>
        <v/>
      </c>
      <c r="G47" s="2390" t="s">
        <v>690</v>
      </c>
      <c r="H47" s="1069"/>
      <c r="I47" s="1069"/>
      <c r="J47" s="801" t="str">
        <f>FHD_NOTE_P_11</f>
        <v/>
      </c>
      <c r="K47" s="2148" t="str">
        <f>IF((LEN(E47)-LEN(SUBSTITUTE(E47,".","")))/LEN(".")=1,"p","")</f>
        <v/>
      </c>
      <c r="L47" s="2148"/>
      <c r="M47" s="2148"/>
      <c r="R47" s="2148"/>
      <c r="U47" s="1056"/>
      <c r="AA47" s="2144"/>
      <c r="AB47" s="2144"/>
      <c r="AC47" s="2144"/>
      <c r="AD47" s="2144"/>
      <c r="AE47" s="2144"/>
      <c r="AF47" s="1672">
        <v>0</v>
      </c>
    </row>
    <row s="50881" customFormat="1" customHeight="1" ht="18.75">
      <c r="A48" s="1501" t="s">
        <v>712</v>
      </c>
      <c r="C48" s="2148"/>
      <c r="D48" s="2150"/>
      <c r="E48" s="1058" t="str">
        <f>FHD_NUM_P_12</f>
        <v>2.3</v>
      </c>
      <c r="F48" s="2036" t="str">
        <f>FHD_P_12</f>
        <v>Расходы на химические реагенты, используемые в технологическом процессе</v>
      </c>
      <c r="G48" s="2390" t="s">
        <v>690</v>
      </c>
      <c r="H48" s="1089"/>
      <c r="I48" s="1089"/>
      <c r="J48" s="801" t="str">
        <f>FHD_NOTE_P_12</f>
        <v/>
      </c>
      <c r="K48" s="2148" t="str">
        <f>IF((LEN(E48)-LEN(SUBSTITUTE(E48,".","")))/LEN(".")=1,"p","")</f>
        <v>p</v>
      </c>
      <c r="L48" s="2148"/>
      <c r="M48" s="2148"/>
      <c r="R48" s="2148"/>
      <c r="U48" s="1056"/>
      <c r="AA48" s="2144"/>
      <c r="AB48" s="2144"/>
      <c r="AC48" s="2144"/>
      <c r="AD48" s="2144"/>
      <c r="AE48" s="2144"/>
      <c r="AF48" s="1672">
        <v>18</v>
      </c>
    </row>
    <row s="60283" customFormat="1" customHeight="1" ht="11.549999999999999">
      <c r="A49" s="1500"/>
      <c r="C49" s="1242"/>
      <c r="D49" s="1185"/>
      <c r="E49" s="1058" t="str">
        <f>FHD_NUM_P_13</f>
        <v>2.4</v>
      </c>
      <c r="F49" s="20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90" t="s">
        <v>690</v>
      </c>
      <c r="H49" s="1069"/>
      <c r="I49" s="1069"/>
      <c r="J49" s="801" t="str">
        <f>FHD_NOTE_P_13</f>
        <v>Указывается общая сумма расходов на оплату труда и отчислений на социальные нужды основного производственного персонала.</v>
      </c>
      <c r="K49" s="2148" t="str">
        <f>IF((LEN(E49)-LEN(SUBSTITUTE(E49,".","")))/LEN(".")=1,"p","")</f>
        <v>p</v>
      </c>
      <c r="L49" s="1242"/>
      <c r="M49" s="1242"/>
      <c r="R49" s="1242"/>
      <c r="U49" s="1243"/>
      <c r="AA49" s="1244"/>
      <c r="AB49" s="1244"/>
      <c r="AC49" s="1244"/>
      <c r="AD49" s="1244"/>
      <c r="AE49" s="1244"/>
      <c r="AF49" s="1241">
        <v>11</v>
      </c>
    </row>
    <row s="60283" customFormat="1" customHeight="1" ht="11.549999999999999">
      <c r="A50" s="1500"/>
      <c r="C50" s="1242"/>
      <c r="D50" s="1185"/>
      <c r="E50" s="1058" t="str">
        <f>FHD_NUM_P_14</f>
        <v>2.4.1</v>
      </c>
      <c r="F50" s="2162" t="str">
        <f>FHD_P_14</f>
        <v>Расходы на оплату труда основного производственного персонала</v>
      </c>
      <c r="G50" s="2390" t="s">
        <v>690</v>
      </c>
      <c r="H50" s="1069"/>
      <c r="I50" s="1069"/>
      <c r="J50" s="801" t="str">
        <f>FHD_NOTE_P_14</f>
        <v/>
      </c>
      <c r="K50" s="2148" t="str">
        <f>IF((LEN(E50)-LEN(SUBSTITUTE(E50,".","")))/LEN(".")=1,"p","")</f>
        <v/>
      </c>
      <c r="L50" s="1242"/>
      <c r="M50" s="1242"/>
      <c r="R50" s="1242"/>
      <c r="U50" s="1243"/>
      <c r="AA50" s="1244"/>
      <c r="AB50" s="1244"/>
      <c r="AC50" s="1244"/>
      <c r="AD50" s="1244"/>
      <c r="AE50" s="1244"/>
      <c r="AF50" s="1241">
        <v>11</v>
      </c>
    </row>
    <row s="60283" customFormat="1" customHeight="1" ht="11.549999999999999">
      <c r="A51" s="1500"/>
      <c r="C51" s="1242"/>
      <c r="D51" s="1185"/>
      <c r="E51" s="1058" t="str">
        <f>FHD_NUM_P_15</f>
        <v>2.4.2</v>
      </c>
      <c r="F51" s="2162" t="str">
        <f>FHD_P_15</f>
        <v>Страховые взносы на обязательное социальное страхование, выплачиваемые из фонда оплаты труда основного производственного персонала</v>
      </c>
      <c r="G51" s="2390" t="s">
        <v>690</v>
      </c>
      <c r="H51" s="1069"/>
      <c r="I51" s="1069"/>
      <c r="J51" s="801" t="str">
        <f>FHD_NOTE_P_15</f>
        <v/>
      </c>
      <c r="K51" s="2148" t="str">
        <f>IF((LEN(E51)-LEN(SUBSTITUTE(E51,".","")))/LEN(".")=1,"p","")</f>
        <v/>
      </c>
      <c r="L51" s="1242"/>
      <c r="M51" s="1242"/>
      <c r="R51" s="1242"/>
      <c r="U51" s="1243"/>
      <c r="AA51" s="1244"/>
      <c r="AB51" s="1244"/>
      <c r="AC51" s="1244"/>
      <c r="AD51" s="1244"/>
      <c r="AE51" s="1244"/>
      <c r="AF51" s="1241">
        <v>11</v>
      </c>
    </row>
    <row s="50881" customFormat="1" customHeight="1" ht="11.549999999999999">
      <c r="A52" s="1499"/>
      <c r="C52" s="2148"/>
      <c r="D52" s="2150"/>
      <c r="E52" s="1058" t="str">
        <f>FHD_NUM_P_16</f>
        <v>2.5</v>
      </c>
      <c r="F52" s="20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90" t="s">
        <v>690</v>
      </c>
      <c r="H52" s="1069"/>
      <c r="I52" s="1069"/>
      <c r="J52" s="801" t="str">
        <f>FHD_NOTE_P_16</f>
        <v>Указывается общая сумма расходов на оплату труда и отчислений на социальные нужды административно-управленческого персонала.</v>
      </c>
      <c r="K52" s="2148" t="str">
        <f>IF((LEN(E52)-LEN(SUBSTITUTE(E52,".","")))/LEN(".")=1,"p","")</f>
        <v>p</v>
      </c>
      <c r="L52" s="2148"/>
      <c r="M52" s="2154"/>
      <c r="N52" s="1049"/>
      <c r="O52" s="1049"/>
      <c r="R52" s="2148"/>
      <c r="U52" s="1056"/>
      <c r="AA52" s="2144"/>
      <c r="AB52" s="2144"/>
      <c r="AC52" s="2144"/>
      <c r="AD52" s="2144"/>
      <c r="AE52" s="2144"/>
      <c r="AF52" s="1672">
        <v>11</v>
      </c>
    </row>
    <row s="50881" customFormat="1" customHeight="1" ht="11.549999999999999">
      <c r="A53" s="1499"/>
      <c r="C53" s="2148"/>
      <c r="D53" s="2150"/>
      <c r="E53" s="1058" t="str">
        <f>FHD_NUM_P_17</f>
        <v>2.5.1</v>
      </c>
      <c r="F53" s="2162" t="str">
        <f>FHD_P_17</f>
        <v>Расходы на оплату труда административно-управленческого персонала</v>
      </c>
      <c r="G53" s="2390" t="s">
        <v>690</v>
      </c>
      <c r="H53" s="1069"/>
      <c r="I53" s="1069"/>
      <c r="J53" s="801" t="str">
        <f>FHD_NOTE_P_17</f>
        <v/>
      </c>
      <c r="K53" s="2148" t="str">
        <f>IF((LEN(E53)-LEN(SUBSTITUTE(E53,".","")))/LEN(".")=1,"p","")</f>
        <v/>
      </c>
      <c r="L53" s="2148"/>
      <c r="M53" s="2154"/>
      <c r="N53" s="1049"/>
      <c r="O53" s="1049"/>
      <c r="R53" s="2148"/>
      <c r="U53" s="1056"/>
      <c r="AA53" s="2144"/>
      <c r="AB53" s="2144"/>
      <c r="AC53" s="2144"/>
      <c r="AD53" s="2144"/>
      <c r="AE53" s="2144"/>
      <c r="AF53" s="1672">
        <v>11</v>
      </c>
    </row>
    <row s="50881" customFormat="1" customHeight="1" ht="11.549999999999999">
      <c r="A54" s="1499"/>
      <c r="C54" s="2148"/>
      <c r="D54" s="2150"/>
      <c r="E54" s="1058" t="str">
        <f>FHD_NUM_P_18</f>
        <v>2.5.2</v>
      </c>
      <c r="F54" s="21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90" t="s">
        <v>690</v>
      </c>
      <c r="H54" s="1069"/>
      <c r="I54" s="1069"/>
      <c r="J54" s="801" t="str">
        <f>FHD_NOTE_P_18</f>
        <v/>
      </c>
      <c r="K54" s="2148" t="str">
        <f>IF((LEN(E54)-LEN(SUBSTITUTE(E54,".","")))/LEN(".")=1,"p","")</f>
        <v/>
      </c>
      <c r="L54" s="2148"/>
      <c r="M54" s="2154"/>
      <c r="N54" s="1049"/>
      <c r="O54" s="1049"/>
      <c r="R54" s="2148"/>
      <c r="U54" s="1056"/>
      <c r="AA54" s="2144"/>
      <c r="AB54" s="2144"/>
      <c r="AC54" s="2144"/>
      <c r="AD54" s="2144"/>
      <c r="AE54" s="2144"/>
      <c r="AF54" s="1672">
        <v>11</v>
      </c>
    </row>
    <row s="50881" customFormat="1" customHeight="1" ht="11.549999999999999">
      <c r="A55" s="1499"/>
      <c r="C55" s="2148"/>
      <c r="D55" s="1087"/>
      <c r="E55" s="1058" t="str">
        <f>FHD_NUM_P_19</f>
        <v>2.6</v>
      </c>
      <c r="F55" s="2036" t="str">
        <f>FHD_P_19</f>
        <v>Расходы на амортизацию основных средств и нематериальных активов</v>
      </c>
      <c r="G55" s="2390" t="s">
        <v>690</v>
      </c>
      <c r="H55" s="1069"/>
      <c r="I55" s="1069"/>
      <c r="J55" s="801" t="str">
        <f>FHD_NOTE_P_19</f>
        <v/>
      </c>
      <c r="K55" s="2148" t="str">
        <f>IF((LEN(E55)-LEN(SUBSTITUTE(E55,".","")))/LEN(".")=1,"p","")</f>
        <v>p</v>
      </c>
      <c r="L55" s="2148"/>
      <c r="M55" s="2148"/>
      <c r="R55" s="2148"/>
      <c r="U55" s="1056"/>
      <c r="AA55" s="2144"/>
      <c r="AB55" s="2144"/>
      <c r="AC55" s="2144"/>
      <c r="AD55" s="2144"/>
      <c r="AE55" s="2144"/>
      <c r="AF55" s="1672">
        <v>11</v>
      </c>
    </row>
    <row s="50881" customFormat="1" customHeight="1" ht="11.549999999999999">
      <c r="A56" s="1499"/>
      <c r="C56" s="2148"/>
      <c r="D56" s="1087"/>
      <c r="E56" s="1058" t="str">
        <f>FHD_NUM_P_20</f>
        <v>2.6.1</v>
      </c>
      <c r="F56" s="2162" t="str">
        <f>FHD_P_20</f>
        <v>Расходы на амортизацию основных средств</v>
      </c>
      <c r="G56" s="2390" t="s">
        <v>690</v>
      </c>
      <c r="H56" s="1069"/>
      <c r="I56" s="1069"/>
      <c r="J56" s="801" t="str">
        <f>FHD_NOTE_P_20</f>
        <v/>
      </c>
      <c r="K56" s="2148" t="str">
        <f>IF((LEN(E56)-LEN(SUBSTITUTE(E56,".","")))/LEN(".")=1,"p","")</f>
        <v/>
      </c>
      <c r="L56" s="2148"/>
      <c r="M56" s="2148"/>
      <c r="R56" s="2148"/>
      <c r="U56" s="1056"/>
      <c r="AA56" s="2144"/>
      <c r="AB56" s="2144"/>
      <c r="AC56" s="2144"/>
      <c r="AD56" s="2144"/>
      <c r="AE56" s="2144"/>
      <c r="AF56" s="1672">
        <v>11</v>
      </c>
    </row>
    <row s="50881" customFormat="1" customHeight="1" ht="11.549999999999999">
      <c r="A57" s="1499"/>
      <c r="C57" s="2148"/>
      <c r="D57" s="1087"/>
      <c r="E57" s="1058" t="str">
        <f>FHD_NUM_P_21</f>
        <v>2.6.2</v>
      </c>
      <c r="F57" s="2162" t="str">
        <f>FHD_P_21</f>
        <v>Расходы на амортизацию нематериальных активов</v>
      </c>
      <c r="G57" s="2390" t="s">
        <v>690</v>
      </c>
      <c r="H57" s="1069"/>
      <c r="I57" s="1069"/>
      <c r="J57" s="801" t="str">
        <f>FHD_NOTE_P_21</f>
        <v/>
      </c>
      <c r="K57" s="2148" t="str">
        <f>IF((LEN(E57)-LEN(SUBSTITUTE(E57,".","")))/LEN(".")=1,"p","")</f>
        <v/>
      </c>
      <c r="L57" s="2148"/>
      <c r="M57" s="2148"/>
      <c r="R57" s="2148"/>
      <c r="U57" s="1056"/>
      <c r="AA57" s="2144"/>
      <c r="AB57" s="2144"/>
      <c r="AC57" s="2144"/>
      <c r="AD57" s="2144"/>
      <c r="AE57" s="2144"/>
      <c r="AF57" s="1672">
        <v>11</v>
      </c>
    </row>
    <row s="50881" customFormat="1" customHeight="1" ht="11.549999999999999">
      <c r="A58" s="1499"/>
      <c r="C58" s="2148"/>
      <c r="D58" s="2150"/>
      <c r="E58" s="1058" t="str">
        <f>FHD_NUM_P_22</f>
        <v>2.7</v>
      </c>
      <c r="F58" s="2036" t="str">
        <f>FHD_P_22</f>
        <v>Расходы на аренду имущества, используемого для осуществления регулируемых видов деятельности в сфере холодного водоснабжения</v>
      </c>
      <c r="G58" s="2390" t="s">
        <v>690</v>
      </c>
      <c r="H58" s="1069"/>
      <c r="I58" s="1069"/>
      <c r="J58" s="801" t="str">
        <f>FHD_NOTE_P_22</f>
        <v/>
      </c>
      <c r="K58" s="2148" t="str">
        <f>IF((LEN(E58)-LEN(SUBSTITUTE(E58,".","")))/LEN(".")=1,"p","")</f>
        <v>p</v>
      </c>
      <c r="L58" s="2148"/>
      <c r="M58" s="2148"/>
      <c r="R58" s="2148"/>
      <c r="U58" s="1056"/>
      <c r="AA58" s="2144"/>
      <c r="AB58" s="2144"/>
      <c r="AC58" s="2144"/>
      <c r="AD58" s="2144"/>
      <c r="AE58" s="2144"/>
      <c r="AF58" s="1672">
        <v>11</v>
      </c>
    </row>
    <row s="50881" customFormat="1" customHeight="1" ht="11.549999999999999">
      <c r="A59" s="1499"/>
      <c r="C59" s="2148"/>
      <c r="D59" s="1087"/>
      <c r="E59" s="1058" t="str">
        <f>FHD_NUM_P_23</f>
        <v>2.8</v>
      </c>
      <c r="F59" s="2036" t="str">
        <f>FHD_P_23</f>
        <v>Общепроизводственные расходы, в том числе:</v>
      </c>
      <c r="G59" s="2390" t="s">
        <v>690</v>
      </c>
      <c r="H59" s="1069"/>
      <c r="I59" s="1069"/>
      <c r="J59" s="801" t="str">
        <f>FHD_NOTE_P_23</f>
        <v>Указывается общая сумма общепроизводственных расходов.</v>
      </c>
      <c r="K59" s="2148" t="str">
        <f>IF((LEN(E59)-LEN(SUBSTITUTE(E59,".","")))/LEN(".")=1,"p","")</f>
        <v>p</v>
      </c>
      <c r="L59" s="2148"/>
      <c r="M59" s="2148"/>
      <c r="R59" s="2148"/>
      <c r="U59" s="1056"/>
      <c r="AA59" s="2144"/>
      <c r="AB59" s="2144"/>
      <c r="AC59" s="2144"/>
      <c r="AD59" s="2144"/>
      <c r="AE59" s="2144"/>
      <c r="AF59" s="1672">
        <v>11</v>
      </c>
    </row>
    <row s="50881" customFormat="1" customHeight="1" ht="11.549999999999999">
      <c r="A60" s="1499"/>
      <c r="C60" s="2148"/>
      <c r="D60" s="1087"/>
      <c r="E60" s="1058" t="str">
        <f>FHD_NUM_P_24</f>
        <v>2.8.1</v>
      </c>
      <c r="F60" s="2162" t="str">
        <f>FHD_P_24</f>
        <v>Расходы на текущий ремонт</v>
      </c>
      <c r="G60" s="2390" t="s">
        <v>690</v>
      </c>
      <c r="H60" s="1069"/>
      <c r="I60" s="1069"/>
      <c r="J60" s="801" t="str">
        <f>FHD_NOTE_P_24</f>
        <v>Указываются расходы на текущий ремонт, отнесенные к общепроизводственным расходам.</v>
      </c>
      <c r="K60" s="2148" t="str">
        <f>IF((LEN(E60)-LEN(SUBSTITUTE(E60,".","")))/LEN(".")=1,"p","")</f>
        <v/>
      </c>
      <c r="L60" s="2148"/>
      <c r="M60" s="2148"/>
      <c r="R60" s="2148"/>
      <c r="U60" s="1056"/>
      <c r="AA60" s="2144"/>
      <c r="AB60" s="2144"/>
      <c r="AC60" s="2144"/>
      <c r="AD60" s="2144"/>
      <c r="AE60" s="2144"/>
      <c r="AF60" s="1672">
        <v>11</v>
      </c>
    </row>
    <row s="50881" customFormat="1" customHeight="1" ht="11.549999999999999">
      <c r="A61" s="1499"/>
      <c r="C61" s="2148"/>
      <c r="D61" s="1087"/>
      <c r="E61" s="1058" t="str">
        <f>FHD_NUM_P_25</f>
        <v>2.8.2</v>
      </c>
      <c r="F61" s="2162" t="str">
        <f>FHD_P_25</f>
        <v>Расходы на капитальный ремонт</v>
      </c>
      <c r="G61" s="2390" t="s">
        <v>690</v>
      </c>
      <c r="H61" s="1069"/>
      <c r="I61" s="1069"/>
      <c r="J61" s="801" t="str">
        <f>FHD_NOTE_P_25</f>
        <v>Указываются расходы на капитальный ремонт, отнесенные к общепроизводственным расходам.</v>
      </c>
      <c r="K61" s="2148" t="str">
        <f>IF((LEN(E61)-LEN(SUBSTITUTE(E61,".","")))/LEN(".")=1,"p","")</f>
        <v/>
      </c>
      <c r="L61" s="2148"/>
      <c r="M61" s="2148"/>
      <c r="R61" s="2148"/>
      <c r="U61" s="1056"/>
      <c r="AA61" s="2144"/>
      <c r="AB61" s="2144"/>
      <c r="AC61" s="2144"/>
      <c r="AD61" s="2144"/>
      <c r="AE61" s="2144"/>
      <c r="AF61" s="1672">
        <v>11</v>
      </c>
    </row>
    <row s="50881" customFormat="1" customHeight="1" ht="11.549999999999999">
      <c r="A62" s="1499"/>
      <c r="C62" s="2148"/>
      <c r="D62" s="2150"/>
      <c r="E62" s="1058" t="str">
        <f>FHD_NUM_P_26</f>
        <v>2.9</v>
      </c>
      <c r="F62" s="2036" t="str">
        <f>FHD_P_26</f>
        <v>Общехозяйственные расходы, в том числе:</v>
      </c>
      <c r="G62" s="2390" t="s">
        <v>690</v>
      </c>
      <c r="H62" s="1069"/>
      <c r="I62" s="1069"/>
      <c r="J62" s="801" t="str">
        <f>FHD_NOTE_P_26</f>
        <v>Указывается общая сумма общехозяйственных расходов.</v>
      </c>
      <c r="K62" s="2148" t="str">
        <f>IF((LEN(E62)-LEN(SUBSTITUTE(E62,".","")))/LEN(".")=1,"p","")</f>
        <v>p</v>
      </c>
      <c r="L62" s="2148"/>
      <c r="M62" s="2148"/>
      <c r="R62" s="2148"/>
      <c r="U62" s="1056"/>
      <c r="AA62" s="2144"/>
      <c r="AB62" s="2144"/>
      <c r="AC62" s="2144"/>
      <c r="AD62" s="2144"/>
      <c r="AE62" s="2144"/>
      <c r="AF62" s="1672">
        <v>11</v>
      </c>
    </row>
    <row s="50881" customFormat="1" customHeight="1" ht="11.549999999999999">
      <c r="A63" s="1499"/>
      <c r="C63" s="2148"/>
      <c r="D63" s="2150"/>
      <c r="E63" s="1058" t="str">
        <f>FHD_NUM_P_27</f>
        <v>2.9.1</v>
      </c>
      <c r="F63" s="2162" t="str">
        <f>FHD_P_27</f>
        <v>Расходы на текущий ремонт</v>
      </c>
      <c r="G63" s="2390" t="s">
        <v>690</v>
      </c>
      <c r="H63" s="1069"/>
      <c r="I63" s="1069"/>
      <c r="J63" s="801" t="str">
        <f>FHD_NOTE_P_27</f>
        <v>Указываются расходы на текущий ремонт, отнесенные к общехозяйственным расходам.</v>
      </c>
      <c r="K63" s="2148" t="str">
        <f>IF((LEN(E63)-LEN(SUBSTITUTE(E63,".","")))/LEN(".")=1,"p","")</f>
        <v/>
      </c>
      <c r="L63" s="2148"/>
      <c r="M63" s="2148"/>
      <c r="R63" s="2148"/>
      <c r="U63" s="1056"/>
      <c r="AA63" s="2144"/>
      <c r="AB63" s="2144"/>
      <c r="AC63" s="2144"/>
      <c r="AD63" s="2144"/>
      <c r="AE63" s="2144"/>
      <c r="AF63" s="1672">
        <v>11</v>
      </c>
    </row>
    <row s="50881" customFormat="1" customHeight="1" ht="11.549999999999999">
      <c r="A64" s="1499"/>
      <c r="C64" s="2148"/>
      <c r="D64" s="2150"/>
      <c r="E64" s="1058" t="str">
        <f>FHD_NUM_P_28</f>
        <v>2.9.2</v>
      </c>
      <c r="F64" s="2162" t="str">
        <f>FHD_P_28</f>
        <v>Расходы на капитальный ремонт</v>
      </c>
      <c r="G64" s="2390" t="s">
        <v>690</v>
      </c>
      <c r="H64" s="1069"/>
      <c r="I64" s="1069"/>
      <c r="J64" s="801" t="str">
        <f>FHD_NOTE_P_28</f>
        <v>Указываются расходы на капитальный ремонт, отнесенные к общехозяйственным расходам.</v>
      </c>
      <c r="K64" s="2148" t="str">
        <f>IF((LEN(E64)-LEN(SUBSTITUTE(E64,".","")))/LEN(".")=1,"p","")</f>
        <v/>
      </c>
      <c r="L64" s="2148"/>
      <c r="M64" s="2148"/>
      <c r="R64" s="2148"/>
      <c r="U64" s="1056"/>
      <c r="AA64" s="2144"/>
      <c r="AB64" s="2144"/>
      <c r="AC64" s="2144"/>
      <c r="AD64" s="2144"/>
      <c r="AE64" s="2144"/>
      <c r="AF64" s="1672">
        <v>11</v>
      </c>
    </row>
    <row s="50881" customFormat="1" customHeight="1" ht="11.549999999999999">
      <c r="A65" s="1499"/>
      <c r="C65" s="2148"/>
      <c r="D65" s="2150"/>
      <c r="E65" s="1058" t="str">
        <f>FHD_NUM_P_29</f>
        <v>2.10</v>
      </c>
      <c r="F65" s="2036" t="str">
        <f>FHD_P_29</f>
        <v>Расходы на капитальный и текущий ремонт основных средств</v>
      </c>
      <c r="G65" s="2390" t="s">
        <v>690</v>
      </c>
      <c r="H65" s="1069"/>
      <c r="I65" s="1069"/>
      <c r="J65" s="80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48" t="str">
        <f>IF((LEN(E65)-LEN(SUBSTITUTE(E65,".","")))/LEN(".")=1,"p","")</f>
        <v>p</v>
      </c>
      <c r="L65" s="2148"/>
      <c r="M65" s="2148"/>
      <c r="R65" s="2148"/>
      <c r="U65" s="1056"/>
      <c r="AA65" s="2144"/>
      <c r="AB65" s="2144"/>
      <c r="AC65" s="2144"/>
      <c r="AD65" s="2144"/>
      <c r="AE65" s="2144"/>
      <c r="AF65" s="1672">
        <v>11</v>
      </c>
    </row>
    <row s="50881" customFormat="1" customHeight="1" ht="11.549999999999999">
      <c r="A66" s="1499"/>
      <c r="C66" s="2148"/>
      <c r="D66" s="2150"/>
      <c r="E66" s="1058" t="str">
        <f>FHD_NUM_P_30</f>
        <v>2.10.1</v>
      </c>
      <c r="F66" s="21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90" t="s">
        <v>445</v>
      </c>
      <c r="H66" s="2161" t="s">
        <v>713</v>
      </c>
      <c r="I66" s="2161" t="s">
        <v>713</v>
      </c>
      <c r="J66" s="801" t="str">
        <f>FHD_NOTE_P_30</f>
        <v/>
      </c>
      <c r="K66" s="2148" t="str">
        <f>IF((LEN(E66)-LEN(SUBSTITUTE(E66,".","")))/LEN(".")=1,"p","")</f>
        <v/>
      </c>
      <c r="L66" s="2148">
        <f>_xlfn.IFERROR(MATCH("есть",B_FHD_FLAG_INDEX_1,0),0)</f>
        <v>0</v>
      </c>
      <c r="M66" s="2148"/>
      <c r="R66" s="2148"/>
      <c r="U66" s="1056"/>
      <c r="AA66" s="2144"/>
      <c r="AB66" s="2144"/>
      <c r="AC66" s="2144"/>
      <c r="AD66" s="2144"/>
      <c r="AE66" s="2144"/>
      <c r="AF66" s="1672">
        <v>11</v>
      </c>
    </row>
    <row s="50881" customFormat="1" customHeight="1" ht="23.25">
      <c r="A67" s="2883" t="s">
        <v>714</v>
      </c>
      <c r="C67" s="2148"/>
      <c r="D67" s="2150"/>
      <c r="E67" s="1058" t="str">
        <f>FHD_NUM_P_31</f>
        <v>2.11</v>
      </c>
      <c r="F67" s="203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390" t="s">
        <v>690</v>
      </c>
      <c r="H67" s="1069"/>
      <c r="I67" s="1069"/>
      <c r="J67" s="80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148" t="str">
        <f>IF((LEN(E67)-LEN(SUBSTITUTE(E67,".","")))/LEN(".")=1,"p","")</f>
        <v>p</v>
      </c>
      <c r="L67" s="2148"/>
      <c r="M67" s="2148"/>
      <c r="R67" s="2148"/>
      <c r="U67" s="1056"/>
      <c r="AA67" s="2144"/>
      <c r="AB67" s="2144"/>
      <c r="AC67" s="2144"/>
      <c r="AD67" s="2144"/>
      <c r="AE67" s="2144"/>
      <c r="AF67" s="1672">
        <v>22</v>
      </c>
    </row>
    <row s="50881" customFormat="1" customHeight="1" ht="47.25">
      <c r="A68" s="2883"/>
      <c r="C68" s="2148"/>
      <c r="D68" s="2150"/>
      <c r="E68" s="1058" t="str">
        <f>FHD_NUM_P_32</f>
        <v>2.11.1</v>
      </c>
      <c r="F68" s="21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390" t="s">
        <v>445</v>
      </c>
      <c r="H68" s="2161" t="s">
        <v>713</v>
      </c>
      <c r="I68" s="2161" t="s">
        <v>713</v>
      </c>
      <c r="J68" s="801" t="str">
        <f>FHD_NOTE_P_32</f>
        <v/>
      </c>
      <c r="K68" s="2148" t="str">
        <f>IF((LEN(E68)-LEN(SUBSTITUTE(E68,".","")))/LEN(".")=1,"p","")</f>
        <v/>
      </c>
      <c r="L68" s="2148">
        <f>_xlfn.IFERROR(MATCH("есть",B_FHD_FLAG_INDEX_2,0),0)</f>
        <v>0</v>
      </c>
      <c r="M68" s="2148"/>
      <c r="R68" s="2148"/>
      <c r="U68" s="1056"/>
      <c r="AA68" s="2144"/>
      <c r="AB68" s="2144"/>
      <c r="AC68" s="2144"/>
      <c r="AD68" s="2144"/>
      <c r="AE68" s="2144"/>
      <c r="AF68" s="1672">
        <v>45</v>
      </c>
    </row>
    <row s="50881" customFormat="1" customHeight="1" ht="11.549999999999999">
      <c r="A69" s="1499"/>
      <c r="C69" s="2148"/>
      <c r="D69" s="2150"/>
      <c r="E69" s="1058" t="str">
        <f>FHD_NUM_P_33</f>
        <v>2.12</v>
      </c>
      <c r="F69" s="203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391" t="s">
        <v>690</v>
      </c>
      <c r="H69" s="1091">
        <f>SUM(H70:H71)</f>
        <v>0</v>
      </c>
      <c r="I69" s="1091">
        <f>SUM(I70:I71)</f>
        <v>0</v>
      </c>
      <c r="J69" s="80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148" t="str">
        <f>IF((LEN(E69)-LEN(SUBSTITUTE(E69,".","")))/LEN(".")=1,"p","")</f>
        <v>p</v>
      </c>
      <c r="L69" s="2148"/>
      <c r="M69" s="2148"/>
      <c r="R69" s="2148"/>
      <c r="U69" s="1056"/>
      <c r="AA69" s="2144"/>
      <c r="AB69" s="2144"/>
      <c r="AC69" s="2144"/>
      <c r="AD69" s="2144"/>
      <c r="AE69" s="2144"/>
      <c r="AF69" s="1672">
        <v>11</v>
      </c>
    </row>
    <row s="50882" customFormat="1" customHeight="1" ht="1.05">
      <c r="A70" s="1679"/>
      <c r="D70" s="1060"/>
      <c r="E70" s="1525" t="str">
        <f>E69&amp;".0"</f>
        <v>2.12.0</v>
      </c>
      <c r="F70" s="1503"/>
      <c r="G70" s="1525"/>
      <c r="H70" s="1504"/>
      <c r="I70" s="1504"/>
      <c r="J70" s="1505"/>
      <c r="K70" s="2148" t="str">
        <f>IF((LEN(E70)-LEN(SUBSTITUTE(E70,".","")))/LEN(".")=1,"p","")</f>
        <v/>
      </c>
      <c r="AF70" s="2148">
        <v>1</v>
      </c>
    </row>
    <row s="50881" customFormat="1" customHeight="1" ht="14.699999999999998">
      <c r="A71" s="1499"/>
      <c r="C71" s="2148"/>
      <c r="D71" s="2145"/>
      <c r="E71" s="1082"/>
      <c r="F71" s="1083" t="s">
        <v>715</v>
      </c>
      <c r="G71" s="1084"/>
      <c r="H71" s="1085"/>
      <c r="I71" s="1085"/>
      <c r="J71" s="813"/>
      <c r="K71" s="2148"/>
      <c r="L71" s="2148"/>
      <c r="M71" s="2148"/>
      <c r="R71" s="2148"/>
      <c r="U71" s="1056"/>
      <c r="AA71" s="2144"/>
      <c r="AB71" s="2144"/>
      <c r="AC71" s="2144"/>
      <c r="AD71" s="2144"/>
      <c r="AE71" s="2144"/>
      <c r="AF71" s="1672">
        <v>14</v>
      </c>
    </row>
    <row s="50881" customFormat="1" customHeight="1" ht="18.75" hidden="1">
      <c r="A72" s="1501" t="s">
        <v>716</v>
      </c>
      <c r="C72" s="2148"/>
      <c r="D72" s="2150"/>
      <c r="E72" s="1058" t="str">
        <f>FHD_NUM_P_34</f>
        <v/>
      </c>
      <c r="F72" s="2392" t="str">
        <f>FHD_P_34</f>
        <v/>
      </c>
      <c r="G72" s="2390" t="s">
        <v>690</v>
      </c>
      <c r="H72" s="1069"/>
      <c r="I72" s="1069"/>
      <c r="J72" s="801" t="str">
        <f>FHD_NOTE_P_34</f>
        <v/>
      </c>
      <c r="K72" s="1055"/>
      <c r="L72" s="2148"/>
      <c r="M72" s="2148"/>
      <c r="R72" s="2148"/>
      <c r="U72" s="1056"/>
      <c r="AA72" s="2144"/>
      <c r="AB72" s="2144"/>
      <c r="AC72" s="2144"/>
      <c r="AD72" s="2144"/>
      <c r="AE72" s="2144"/>
      <c r="AF72" s="1672">
        <v>0</v>
      </c>
    </row>
    <row s="50881" customFormat="1" customHeight="1" ht="19.95">
      <c r="A73" s="1499"/>
      <c r="C73" s="2148"/>
      <c r="D73" s="1087"/>
      <c r="E73" s="1058" t="str">
        <f>FHD_NUM_P_35</f>
        <v>3</v>
      </c>
      <c r="F73" s="2392" t="str">
        <f>FHD_P_35</f>
        <v>Чистая прибыль, полученная от регулируемого вида деятельности в сфере холодного водоснабжения, в том числе:</v>
      </c>
      <c r="G73" s="2390" t="s">
        <v>690</v>
      </c>
      <c r="H73" s="1069"/>
      <c r="I73" s="1069"/>
      <c r="J73" s="801" t="str">
        <f>FHD_NOTE_P_35</f>
        <v>Указывается общая сумма чистой прибыли, полученной от регулируемого вида деятельности.</v>
      </c>
      <c r="K73" s="1055"/>
      <c r="L73" s="2148"/>
      <c r="M73" s="2148"/>
      <c r="R73" s="2148"/>
      <c r="U73" s="1056"/>
      <c r="AA73" s="2144"/>
      <c r="AB73" s="2144"/>
      <c r="AC73" s="2144"/>
      <c r="AD73" s="2144"/>
      <c r="AE73" s="2144"/>
      <c r="AF73" s="1672">
        <v>19</v>
      </c>
    </row>
    <row s="50881" customFormat="1" customHeight="1" ht="19.95">
      <c r="A74" s="1499"/>
      <c r="C74" s="2148"/>
      <c r="D74" s="2150"/>
      <c r="E74" s="1058" t="str">
        <f>FHD_NUM_P_36</f>
        <v>3.1</v>
      </c>
      <c r="F74" s="20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90" t="s">
        <v>690</v>
      </c>
      <c r="H74" s="1069"/>
      <c r="I74" s="1069"/>
      <c r="J74" s="801" t="str">
        <f>FHD_NOTE_P_36</f>
        <v/>
      </c>
      <c r="K74" s="1055"/>
      <c r="L74" s="2148"/>
      <c r="M74" s="2148"/>
      <c r="R74" s="2148"/>
      <c r="U74" s="1056"/>
      <c r="AA74" s="2144"/>
      <c r="AB74" s="2144"/>
      <c r="AC74" s="2144"/>
      <c r="AD74" s="2144"/>
      <c r="AE74" s="2144"/>
      <c r="AF74" s="1672">
        <v>19</v>
      </c>
    </row>
    <row s="50881" customFormat="1" customHeight="1" ht="19.95">
      <c r="A75" s="1499"/>
      <c r="C75" s="2148"/>
      <c r="D75" s="2150"/>
      <c r="E75" s="1058" t="str">
        <f>FHD_NUM_P_37</f>
        <v>4</v>
      </c>
      <c r="F75" s="2392" t="str">
        <f>FHD_P_37</f>
        <v>Изменение стоимости основных фондов, в том числе:</v>
      </c>
      <c r="G75" s="2390" t="s">
        <v>690</v>
      </c>
      <c r="H75" s="1069"/>
      <c r="I75" s="1069"/>
      <c r="J75" s="801" t="str">
        <f>FHD_NOTE_P_37</f>
        <v>Указывается общее изменение стоимости основных фондов.</v>
      </c>
      <c r="K75" s="1055"/>
      <c r="L75" s="2148"/>
      <c r="M75" s="2148"/>
      <c r="R75" s="2148"/>
      <c r="U75" s="1056"/>
      <c r="AA75" s="2144"/>
      <c r="AB75" s="2144"/>
      <c r="AC75" s="2144"/>
      <c r="AD75" s="2144"/>
      <c r="AE75" s="2144"/>
      <c r="AF75" s="1672">
        <v>19</v>
      </c>
    </row>
    <row s="50881" customFormat="1" customHeight="1" ht="19.95">
      <c r="A76" s="1499"/>
      <c r="C76" s="2148"/>
      <c r="D76" s="2150"/>
      <c r="E76" s="1058" t="str">
        <f>FHD_NUM_P_38</f>
        <v>4.1</v>
      </c>
      <c r="F76" s="2036" t="str">
        <f>FHD_P_38</f>
        <v>Изменение стоимости основных фондов за счет их ввода в эксплуатацию (вывода из эксплуатации)</v>
      </c>
      <c r="G76" s="2390" t="s">
        <v>690</v>
      </c>
      <c r="H76" s="1069"/>
      <c r="I76" s="1069"/>
      <c r="J76" s="801" t="str">
        <f>FHD_NOTE_P_38</f>
        <v>Указываются общее изменение стоимости основных фондов за счет их ввода в эксплуатацию и вывода из эксплуатации.</v>
      </c>
      <c r="K76" s="1055"/>
      <c r="L76" s="2148"/>
      <c r="M76" s="2148"/>
      <c r="R76" s="2148"/>
      <c r="U76" s="1056"/>
      <c r="AA76" s="2144"/>
      <c r="AB76" s="2144"/>
      <c r="AC76" s="2144"/>
      <c r="AD76" s="2144"/>
      <c r="AE76" s="2144"/>
      <c r="AF76" s="1672">
        <v>19</v>
      </c>
    </row>
    <row s="50881" customFormat="1" customHeight="1" ht="19.95">
      <c r="A77" s="1499"/>
      <c r="C77" s="2148"/>
      <c r="D77" s="2150"/>
      <c r="E77" s="1058" t="str">
        <f>FHD_NUM_P_39</f>
        <v>4.1.1</v>
      </c>
      <c r="F77" s="2162" t="str">
        <f>FHD_P_39</f>
        <v>Изменение стоимости основных фондов за счет их ввода в эксплуатацию</v>
      </c>
      <c r="G77" s="2584" t="s">
        <v>690</v>
      </c>
      <c r="H77" s="1069"/>
      <c r="I77" s="1069"/>
      <c r="J77" s="801" t="str">
        <f>FHD_NOTE_P_39</f>
        <v>Указываются изменение стоимости основных фондов за счет их ввода в эксплуатацию.</v>
      </c>
      <c r="K77" s="1055"/>
      <c r="L77" s="2148"/>
      <c r="M77" s="2148"/>
      <c r="R77" s="2148"/>
      <c r="U77" s="1056"/>
      <c r="AA77" s="2144"/>
      <c r="AB77" s="2144"/>
      <c r="AC77" s="2144"/>
      <c r="AD77" s="2144"/>
      <c r="AE77" s="2144"/>
      <c r="AF77" s="1672">
        <v>19</v>
      </c>
    </row>
    <row s="50881" customFormat="1" customHeight="1" ht="19.95">
      <c r="A78" s="1499"/>
      <c r="C78" s="2148"/>
      <c r="D78" s="2150"/>
      <c r="E78" s="1058" t="str">
        <f>FHD_NUM_P_40</f>
        <v>4.1.2</v>
      </c>
      <c r="F78" s="2588" t="str">
        <f>FHD_P_40</f>
        <v>Изменение стоимости основных фондов за счет их вывода в эксплуатацию</v>
      </c>
      <c r="G78" s="2583" t="s">
        <v>690</v>
      </c>
      <c r="H78" s="1488"/>
      <c r="I78" s="1069"/>
      <c r="J78" s="801" t="str">
        <f>FHD_NOTE_P_40</f>
        <v>Указываются изменение стоимости основных фондов за счет их вывода из эксплуатации.</v>
      </c>
      <c r="K78" s="1055"/>
      <c r="L78" s="2148"/>
      <c r="M78" s="2148"/>
      <c r="R78" s="2148"/>
      <c r="U78" s="1056"/>
      <c r="AA78" s="2144"/>
      <c r="AB78" s="2144"/>
      <c r="AC78" s="2144"/>
      <c r="AD78" s="2144"/>
      <c r="AE78" s="2144"/>
      <c r="AF78" s="1672">
        <v>19</v>
      </c>
    </row>
    <row s="50881" customFormat="1" customHeight="1" ht="19.95">
      <c r="A79" s="1499"/>
      <c r="C79" s="2148"/>
      <c r="D79" s="2150"/>
      <c r="E79" s="1058" t="str">
        <f>FHD_NUM_P_41</f>
        <v>4.2</v>
      </c>
      <c r="F79" s="2587" t="str">
        <f>FHD_P_41</f>
        <v>Изменение стоимости основных фондов за счет их переоценки</v>
      </c>
      <c r="G79" s="2583" t="s">
        <v>690</v>
      </c>
      <c r="H79" s="1488"/>
      <c r="I79" s="1069"/>
      <c r="J79" s="801" t="str">
        <f>FHD_NOTE_P_41</f>
        <v/>
      </c>
      <c r="K79" s="1055"/>
      <c r="L79" s="2148"/>
      <c r="M79" s="2148"/>
      <c r="R79" s="2148"/>
      <c r="U79" s="1056"/>
      <c r="AA79" s="2144"/>
      <c r="AB79" s="2144"/>
      <c r="AC79" s="2144"/>
      <c r="AD79" s="2144"/>
      <c r="AE79" s="2144"/>
      <c r="AF79" s="1672">
        <v>19</v>
      </c>
    </row>
    <row s="50881" customFormat="1" customHeight="1" ht="19.95">
      <c r="A80" s="1501" t="s">
        <v>717</v>
      </c>
      <c r="C80" s="2148"/>
      <c r="D80" s="2150"/>
      <c r="E80" s="1058" t="str">
        <f>FHD_NUM_P_42</f>
        <v>5</v>
      </c>
      <c r="F80" s="2585" t="str">
        <f>FHD_P_42</f>
        <v>Валовая прибыль (убытки) от продажи товаров и услуг по регулируемым видам деятельности в сфере холодного водоснабжения</v>
      </c>
      <c r="G80" s="2583" t="s">
        <v>690</v>
      </c>
      <c r="H80" s="1488"/>
      <c r="I80" s="1069"/>
      <c r="J80" s="801" t="str">
        <f>FHD_NOTE_P_42</f>
        <v/>
      </c>
      <c r="K80" s="1055"/>
      <c r="L80" s="2148"/>
      <c r="M80" s="2148"/>
      <c r="R80" s="2148"/>
      <c r="U80" s="1056"/>
      <c r="AA80" s="2144"/>
      <c r="AB80" s="2144"/>
      <c r="AC80" s="2144"/>
      <c r="AD80" s="2144"/>
      <c r="AE80" s="2144"/>
      <c r="AF80" s="1672">
        <v>19</v>
      </c>
    </row>
    <row s="50881" customFormat="1" customHeight="1" ht="19.95">
      <c r="A81" s="1499"/>
      <c r="C81" s="2148"/>
      <c r="D81" s="2150"/>
      <c r="E81" s="1058" t="str">
        <f>FHD_NUM_P_43</f>
        <v>6</v>
      </c>
      <c r="F81" s="2392" t="str">
        <f>FHD_P_43</f>
        <v>Годовая бухгалтерская (финансовая) отчетность, включая бухгалтерский баланс и приложения к нему</v>
      </c>
      <c r="G81" s="2586" t="s">
        <v>445</v>
      </c>
      <c r="H81" s="1567"/>
      <c r="I81" s="1330"/>
      <c r="J81" s="801"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1055"/>
      <c r="L81" s="2148"/>
      <c r="M81" s="2148"/>
      <c r="R81" s="2148"/>
      <c r="U81" s="1056"/>
      <c r="AA81" s="2144"/>
      <c r="AB81" s="2144"/>
      <c r="AC81" s="2144"/>
      <c r="AD81" s="2144"/>
      <c r="AE81" s="2144"/>
      <c r="AF81" s="1672">
        <v>19</v>
      </c>
    </row>
    <row s="50881" customFormat="1" customHeight="1" ht="18.75">
      <c r="A82" s="2883" t="s">
        <v>718</v>
      </c>
      <c r="C82" s="1247"/>
      <c r="D82" s="1245"/>
      <c r="E82" s="1058" t="str">
        <f>FHD_NUM_P_44</f>
        <v>7</v>
      </c>
      <c r="F82" s="2392" t="str">
        <f>FHD_P_44</f>
        <v>Объём поднятой воды</v>
      </c>
      <c r="G82" s="2393" t="s">
        <v>719</v>
      </c>
      <c r="H82" s="1489"/>
      <c r="I82" s="1089"/>
      <c r="J82" s="801" t="str">
        <f>FHD_NOTE_P_44</f>
        <v/>
      </c>
      <c r="K82" s="1246"/>
      <c r="L82" s="1247"/>
      <c r="M82" s="1247"/>
      <c r="R82" s="1247"/>
      <c r="U82" s="1248"/>
      <c r="AA82" s="1249"/>
      <c r="AB82" s="1249"/>
      <c r="AC82" s="1249"/>
      <c r="AD82" s="1249"/>
      <c r="AE82" s="1249"/>
      <c r="AF82" s="1422">
        <v>0</v>
      </c>
    </row>
    <row s="50881" customFormat="1" customHeight="1" ht="18.75">
      <c r="A83" s="2883"/>
      <c r="C83" s="1247"/>
      <c r="D83" s="1245"/>
      <c r="E83" s="1058" t="str">
        <f>FHD_NUM_P_45</f>
        <v>8</v>
      </c>
      <c r="F83" s="2392" t="str">
        <f>FHD_P_45</f>
        <v>Объём покупной воды</v>
      </c>
      <c r="G83" s="2393" t="s">
        <v>719</v>
      </c>
      <c r="H83" s="1489"/>
      <c r="I83" s="1089"/>
      <c r="J83" s="801" t="str">
        <f>FHD_NOTE_P_45</f>
        <v/>
      </c>
      <c r="K83" s="1246"/>
      <c r="L83" s="1247"/>
      <c r="M83" s="1247"/>
      <c r="R83" s="1247"/>
      <c r="U83" s="1248"/>
      <c r="AA83" s="1249"/>
      <c r="AB83" s="1249"/>
      <c r="AC83" s="1249"/>
      <c r="AD83" s="1249"/>
      <c r="AE83" s="1249"/>
      <c r="AF83" s="1422">
        <v>0</v>
      </c>
    </row>
    <row s="50881" customFormat="1" customHeight="1" ht="18.75">
      <c r="A84" s="2883"/>
      <c r="C84" s="1247"/>
      <c r="D84" s="1250"/>
      <c r="E84" s="1058" t="str">
        <f>FHD_NUM_P_46</f>
        <v>9</v>
      </c>
      <c r="F84" s="2392" t="str">
        <f>FHD_P_46</f>
        <v>Объём воды, пропущенной через очистные сооружения</v>
      </c>
      <c r="G84" s="2393" t="s">
        <v>719</v>
      </c>
      <c r="H84" s="1489"/>
      <c r="I84" s="1089"/>
      <c r="J84" s="801" t="str">
        <f>FHD_NOTE_P_46</f>
        <v/>
      </c>
      <c r="K84" s="1246"/>
      <c r="L84" s="1247"/>
      <c r="M84" s="1247"/>
      <c r="R84" s="1247"/>
      <c r="U84" s="1248"/>
      <c r="AA84" s="1249"/>
      <c r="AB84" s="1249"/>
      <c r="AC84" s="1249"/>
      <c r="AD84" s="1249"/>
      <c r="AE84" s="1249"/>
      <c r="AF84" s="1422">
        <v>0</v>
      </c>
    </row>
    <row s="50881" customFormat="1" customHeight="1" ht="18.75">
      <c r="A85" s="2883"/>
      <c r="C85" s="1247"/>
      <c r="D85" s="1245"/>
      <c r="E85" s="1058" t="str">
        <f>FHD_NUM_P_47</f>
        <v>10</v>
      </c>
      <c r="F85" s="2392" t="str">
        <f>FHD_P_47</f>
        <v>Объём отпущенной потребителям воды, в том числе:</v>
      </c>
      <c r="G85" s="2393" t="s">
        <v>719</v>
      </c>
      <c r="H85" s="1489"/>
      <c r="I85" s="1089"/>
      <c r="J85" s="801" t="str">
        <f>FHD_NOTE_P_47</f>
        <v>Указывается общий объем отпущенной потребителям воды.</v>
      </c>
      <c r="K85" s="1246"/>
      <c r="L85" s="1247"/>
      <c r="M85" s="1247"/>
      <c r="R85" s="1247"/>
      <c r="U85" s="1248"/>
      <c r="AA85" s="1249"/>
      <c r="AB85" s="1249"/>
      <c r="AC85" s="1249"/>
      <c r="AD85" s="1249"/>
      <c r="AE85" s="1249"/>
      <c r="AF85" s="1422">
        <v>0</v>
      </c>
    </row>
    <row s="50801" customFormat="1" customHeight="1" ht="18.75">
      <c r="A86" s="2883"/>
      <c r="B86" s="1422"/>
      <c r="C86" s="1247"/>
      <c r="D86" s="1245"/>
      <c r="E86" s="1058" t="str">
        <f>FHD_NUM_P_48</f>
        <v>10.1</v>
      </c>
      <c r="F86" s="2392" t="str">
        <f>FHD_P_48</f>
        <v>Объём отпущенной потребителям воды, определенный по приборам учета</v>
      </c>
      <c r="G86" s="2393" t="s">
        <v>719</v>
      </c>
      <c r="H86" s="1489"/>
      <c r="I86" s="1089"/>
      <c r="J86" s="801" t="str">
        <f>FHD_NOTE_P_48</f>
        <v/>
      </c>
      <c r="K86" s="1246"/>
      <c r="L86" s="1247"/>
      <c r="M86" s="1247"/>
      <c r="N86" s="1422"/>
      <c r="O86" s="1422"/>
      <c r="P86" s="1422"/>
      <c r="Q86" s="1422"/>
      <c r="R86" s="1247"/>
      <c r="S86" s="1422"/>
      <c r="T86" s="1422"/>
      <c r="U86" s="1248"/>
      <c r="V86" s="1422"/>
      <c r="W86" s="1422"/>
      <c r="X86" s="1422"/>
      <c r="Y86" s="1422"/>
      <c r="Z86" s="1422"/>
      <c r="AA86" s="1249"/>
      <c r="AB86" s="1249"/>
      <c r="AC86" s="1249"/>
      <c r="AD86" s="1249"/>
      <c r="AE86" s="1249"/>
      <c r="AF86" s="1251">
        <v>0</v>
      </c>
    </row>
    <row s="50801" customFormat="1" customHeight="1" ht="18.75">
      <c r="A87" s="2883"/>
      <c r="B87" s="1422"/>
      <c r="C87" s="1247"/>
      <c r="D87" s="1245"/>
      <c r="E87" s="1058" t="str">
        <f>FHD_NUM_P_49</f>
        <v>10.2</v>
      </c>
      <c r="F87" s="2392" t="str">
        <f>FHD_P_49</f>
        <v>Объём отпущенной потребителям воды, определенный расчетным способом</v>
      </c>
      <c r="G87" s="2393" t="s">
        <v>719</v>
      </c>
      <c r="H87" s="1490">
        <f>SUM(H88:H89)</f>
        <v>0</v>
      </c>
      <c r="I87" s="1261">
        <f>SUM(I88:I89)</f>
        <v>0</v>
      </c>
      <c r="J87" s="801" t="str">
        <f>FHD_NOTE_P_49</f>
        <v/>
      </c>
      <c r="K87" s="1246"/>
      <c r="L87" s="1247"/>
      <c r="M87" s="1247"/>
      <c r="N87" s="1422"/>
      <c r="O87" s="1422"/>
      <c r="P87" s="1422"/>
      <c r="Q87" s="1422"/>
      <c r="R87" s="1247"/>
      <c r="S87" s="1422"/>
      <c r="T87" s="1422"/>
      <c r="U87" s="1248"/>
      <c r="V87" s="1422"/>
      <c r="W87" s="1422"/>
      <c r="X87" s="1422"/>
      <c r="Y87" s="1422"/>
      <c r="Z87" s="1422"/>
      <c r="AA87" s="1249"/>
      <c r="AB87" s="1249"/>
      <c r="AC87" s="1249"/>
      <c r="AD87" s="1249"/>
      <c r="AE87" s="1249"/>
      <c r="AF87" s="1251">
        <v>0</v>
      </c>
    </row>
    <row s="50801" customFormat="1" customHeight="1" ht="18.75">
      <c r="A88" s="2883"/>
      <c r="B88" s="1422"/>
      <c r="C88" s="1247"/>
      <c r="D88" s="1245"/>
      <c r="E88" s="1058" t="str">
        <f>FHD_NUM_P_50</f>
        <v>10.2.1</v>
      </c>
      <c r="F88" s="2392" t="str">
        <f>FHD_P_50</f>
        <v>Объём отпущенной потребителям воды, определенный по нормативам потребления коммунальных услуг</v>
      </c>
      <c r="G88" s="2393" t="s">
        <v>719</v>
      </c>
      <c r="H88" s="1489"/>
      <c r="I88" s="1089"/>
      <c r="J88" s="801" t="str">
        <f>FHD_NOTE_P_50</f>
        <v/>
      </c>
      <c r="K88" s="1246"/>
      <c r="L88" s="1247"/>
      <c r="M88" s="1247"/>
      <c r="N88" s="1422"/>
      <c r="O88" s="1422"/>
      <c r="P88" s="1422"/>
      <c r="Q88" s="1422"/>
      <c r="R88" s="1247"/>
      <c r="S88" s="1422"/>
      <c r="T88" s="1422"/>
      <c r="U88" s="1248"/>
      <c r="V88" s="1422"/>
      <c r="W88" s="1422"/>
      <c r="X88" s="1422"/>
      <c r="Y88" s="1422"/>
      <c r="Z88" s="1422"/>
      <c r="AA88" s="1249"/>
      <c r="AB88" s="1249"/>
      <c r="AC88" s="1249"/>
      <c r="AD88" s="1249"/>
      <c r="AE88" s="1249"/>
      <c r="AF88" s="1251">
        <v>0</v>
      </c>
    </row>
    <row s="50801" customFormat="1" customHeight="1" ht="18.75">
      <c r="A89" s="2883"/>
      <c r="B89" s="1422"/>
      <c r="C89" s="1247"/>
      <c r="D89" s="1245"/>
      <c r="E89" s="1058" t="str">
        <f>FHD_NUM_P_51</f>
        <v>10.2.2</v>
      </c>
      <c r="F89" s="2392" t="str">
        <f>FHD_P_51</f>
        <v>Объём отпущенной потребителям воды, определенный по нормативам потребления коммунальных ресурсов </v>
      </c>
      <c r="G89" s="2393" t="s">
        <v>719</v>
      </c>
      <c r="H89" s="1489"/>
      <c r="I89" s="1089"/>
      <c r="J89" s="801" t="str">
        <f>FHD_NOTE_P_51</f>
        <v/>
      </c>
      <c r="K89" s="1246"/>
      <c r="L89" s="1247"/>
      <c r="M89" s="1247"/>
      <c r="N89" s="1422"/>
      <c r="O89" s="1422"/>
      <c r="P89" s="1422"/>
      <c r="Q89" s="1422"/>
      <c r="R89" s="1247"/>
      <c r="S89" s="1422"/>
      <c r="T89" s="1422"/>
      <c r="U89" s="1248"/>
      <c r="V89" s="1422"/>
      <c r="W89" s="1422"/>
      <c r="X89" s="1422"/>
      <c r="Y89" s="1422"/>
      <c r="Z89" s="1422"/>
      <c r="AA89" s="1249"/>
      <c r="AB89" s="1249"/>
      <c r="AC89" s="1249"/>
      <c r="AD89" s="1249"/>
      <c r="AE89" s="1249"/>
      <c r="AF89" s="1251">
        <v>0</v>
      </c>
    </row>
    <row s="50801" customFormat="1" customHeight="1" ht="18.75">
      <c r="A90" s="2883"/>
      <c r="B90" s="1422"/>
      <c r="C90" s="1247"/>
      <c r="D90" s="1245"/>
      <c r="E90" s="1058" t="str">
        <f>FHD_NUM_P_52</f>
        <v>11</v>
      </c>
      <c r="F90" s="2392" t="str">
        <f>FHD_P_52</f>
        <v>Потери воды в сетях</v>
      </c>
      <c r="G90" s="2393" t="s">
        <v>696</v>
      </c>
      <c r="H90" s="1488"/>
      <c r="I90" s="1069"/>
      <c r="J90" s="801" t="str">
        <f>FHD_NOTE_P_52</f>
        <v/>
      </c>
      <c r="K90" s="1246"/>
      <c r="L90" s="1247"/>
      <c r="M90" s="1247"/>
      <c r="N90" s="1422"/>
      <c r="O90" s="1422"/>
      <c r="P90" s="1422"/>
      <c r="Q90" s="1422"/>
      <c r="R90" s="1247"/>
      <c r="S90" s="1422"/>
      <c r="T90" s="1422"/>
      <c r="U90" s="1248"/>
      <c r="V90" s="1422"/>
      <c r="W90" s="1422"/>
      <c r="X90" s="1422"/>
      <c r="Y90" s="1422"/>
      <c r="Z90" s="1422"/>
      <c r="AA90" s="1249"/>
      <c r="AB90" s="1249"/>
      <c r="AC90" s="1249"/>
      <c r="AD90" s="1249"/>
      <c r="AE90" s="1249"/>
      <c r="AF90" s="1251">
        <v>0</v>
      </c>
    </row>
    <row s="50881" customFormat="1" customHeight="1" ht="18.75" hidden="1">
      <c r="A91" s="2885" t="s">
        <v>720</v>
      </c>
      <c r="C91" s="1247"/>
      <c r="D91" s="1245"/>
      <c r="E91" s="1058" t="str">
        <f>FHD_NUM_P_53</f>
        <v/>
      </c>
      <c r="F91" s="2392" t="str">
        <f>FHD_P_53</f>
        <v/>
      </c>
      <c r="G91" s="2393" t="s">
        <v>719</v>
      </c>
      <c r="H91" s="1489"/>
      <c r="I91" s="1089"/>
      <c r="J91" s="801" t="str">
        <f>FHD_NOTE_P_53</f>
        <v/>
      </c>
      <c r="K91" s="1246"/>
      <c r="L91" s="1247"/>
      <c r="M91" s="1247"/>
      <c r="R91" s="1247"/>
      <c r="U91" s="1248"/>
      <c r="AA91" s="1249"/>
      <c r="AB91" s="1249"/>
      <c r="AC91" s="1249"/>
      <c r="AD91" s="1249"/>
      <c r="AE91" s="1249"/>
      <c r="AF91" s="1422">
        <v>0</v>
      </c>
    </row>
    <row s="50881" customFormat="1" customHeight="1" ht="18.75" hidden="1">
      <c r="A92" s="2885"/>
      <c r="C92" s="1247"/>
      <c r="D92" s="1245"/>
      <c r="E92" s="1058" t="str">
        <f>FHD_NUM_P_54</f>
        <v/>
      </c>
      <c r="F92" s="2392" t="str">
        <f>FHD_P_54</f>
        <v/>
      </c>
      <c r="G92" s="2393" t="s">
        <v>719</v>
      </c>
      <c r="H92" s="1489"/>
      <c r="I92" s="1089"/>
      <c r="J92" s="801" t="str">
        <f>FHD_NOTE_P_54</f>
        <v/>
      </c>
      <c r="K92" s="1246"/>
      <c r="L92" s="1247"/>
      <c r="M92" s="1247"/>
      <c r="R92" s="1247"/>
      <c r="U92" s="1248"/>
      <c r="AA92" s="1249"/>
      <c r="AB92" s="1249"/>
      <c r="AC92" s="1249"/>
      <c r="AD92" s="1249"/>
      <c r="AE92" s="1249"/>
      <c r="AF92" s="1422">
        <v>0</v>
      </c>
    </row>
    <row s="50881" customFormat="1" customHeight="1" ht="18.75" hidden="1">
      <c r="A93" s="2885"/>
      <c r="C93" s="1247"/>
      <c r="D93" s="1250"/>
      <c r="E93" s="1058" t="str">
        <f>FHD_NUM_P_55</f>
        <v/>
      </c>
      <c r="F93" s="2392" t="str">
        <f>FHD_P_55</f>
        <v/>
      </c>
      <c r="G93" s="2396"/>
      <c r="H93" s="1489"/>
      <c r="I93" s="1089"/>
      <c r="J93" s="801" t="str">
        <f>FHD_NOTE_P_55</f>
        <v/>
      </c>
      <c r="K93" s="1246"/>
      <c r="L93" s="1247"/>
      <c r="M93" s="1247"/>
      <c r="R93" s="1247"/>
      <c r="U93" s="1248"/>
      <c r="AA93" s="1249"/>
      <c r="AB93" s="1249"/>
      <c r="AC93" s="1249"/>
      <c r="AD93" s="1249"/>
      <c r="AE93" s="1249"/>
      <c r="AF93" s="1422">
        <v>0</v>
      </c>
    </row>
    <row s="50881" customFormat="1" customHeight="1" ht="18.75" hidden="1">
      <c r="A94" s="2885"/>
      <c r="C94" s="1247"/>
      <c r="D94" s="1245"/>
      <c r="E94" s="1058" t="str">
        <f>FHD_NUM_P_56</f>
        <v/>
      </c>
      <c r="F94" s="2392" t="str">
        <f>FHD_P_56</f>
        <v/>
      </c>
      <c r="G94" s="2393" t="s">
        <v>721</v>
      </c>
      <c r="H94" s="1489"/>
      <c r="I94" s="1089"/>
      <c r="J94" s="801" t="str">
        <f>FHD_NOTE_P_56</f>
        <v/>
      </c>
      <c r="K94" s="1246"/>
      <c r="L94" s="1247"/>
      <c r="M94" s="1247"/>
      <c r="R94" s="1247"/>
      <c r="U94" s="1248"/>
      <c r="AA94" s="1249"/>
      <c r="AB94" s="1249"/>
      <c r="AC94" s="1249"/>
      <c r="AD94" s="1249"/>
      <c r="AE94" s="1249"/>
      <c r="AF94" s="1422">
        <v>0</v>
      </c>
    </row>
    <row s="50801" customFormat="1" customHeight="1" ht="18.75" hidden="1">
      <c r="A95" s="2885"/>
      <c r="B95" s="1422"/>
      <c r="C95" s="1247"/>
      <c r="D95" s="1245"/>
      <c r="E95" s="1058" t="str">
        <f>FHD_NUM_P_57</f>
        <v/>
      </c>
      <c r="F95" s="2392" t="str">
        <f>FHD_P_57</f>
        <v/>
      </c>
      <c r="G95" s="2393" t="s">
        <v>696</v>
      </c>
      <c r="H95" s="1488"/>
      <c r="I95" s="1069"/>
      <c r="J95" s="801" t="str">
        <f>FHD_NOTE_P_57</f>
        <v/>
      </c>
      <c r="K95" s="1246"/>
      <c r="L95" s="1247"/>
      <c r="M95" s="1247"/>
      <c r="N95" s="1422"/>
      <c r="O95" s="1422"/>
      <c r="P95" s="1422"/>
      <c r="Q95" s="1422"/>
      <c r="R95" s="1247"/>
      <c r="S95" s="1422"/>
      <c r="T95" s="1422"/>
      <c r="U95" s="1248"/>
      <c r="V95" s="1422"/>
      <c r="W95" s="1422"/>
      <c r="X95" s="1422"/>
      <c r="Y95" s="1422"/>
      <c r="Z95" s="1422"/>
      <c r="AA95" s="1249"/>
      <c r="AB95" s="1249"/>
      <c r="AC95" s="1249"/>
      <c r="AD95" s="1249"/>
      <c r="AE95" s="1249"/>
      <c r="AF95" s="1251">
        <v>0</v>
      </c>
    </row>
    <row customHeight="1" ht="18.75" hidden="1">
      <c r="A96" s="2883" t="s">
        <v>722</v>
      </c>
      <c r="D96" s="2150"/>
      <c r="E96" s="1058" t="str">
        <f>FHD_NUM_P_58</f>
        <v/>
      </c>
      <c r="F96" s="2392" t="str">
        <f>FHD_P_58</f>
        <v/>
      </c>
      <c r="G96" s="2393" t="s">
        <v>719</v>
      </c>
      <c r="H96" s="1489"/>
      <c r="I96" s="1089"/>
      <c r="J96" s="801" t="str">
        <f>FHD_NOTE_P_58</f>
        <v/>
      </c>
      <c r="K96" s="1055"/>
      <c r="AF96" s="2143">
        <v>0</v>
      </c>
    </row>
    <row customHeight="1" ht="18.75" hidden="1">
      <c r="A97" s="2883"/>
      <c r="D97" s="2150"/>
      <c r="E97" s="1058" t="str">
        <f>FHD_NUM_P_59</f>
        <v/>
      </c>
      <c r="F97" s="2392" t="str">
        <f>FHD_P_59</f>
        <v/>
      </c>
      <c r="G97" s="2393" t="s">
        <v>719</v>
      </c>
      <c r="H97" s="1489"/>
      <c r="I97" s="1089"/>
      <c r="J97" s="801" t="str">
        <f>FHD_NOTE_P_59</f>
        <v/>
      </c>
      <c r="K97" s="1055"/>
      <c r="AF97" s="2143">
        <v>0</v>
      </c>
    </row>
    <row customHeight="1" ht="18.75" hidden="1">
      <c r="A98" s="2883"/>
      <c r="D98" s="2150"/>
      <c r="E98" s="1058" t="str">
        <f>FHD_NUM_P_60</f>
        <v/>
      </c>
      <c r="F98" s="2392" t="str">
        <f>FHD_P_60</f>
        <v/>
      </c>
      <c r="G98" s="2393" t="s">
        <v>719</v>
      </c>
      <c r="H98" s="1489"/>
      <c r="I98" s="1089"/>
      <c r="J98" s="801" t="str">
        <f>FHD_NOTE_P_60</f>
        <v/>
      </c>
      <c r="K98" s="1055"/>
      <c r="AF98" s="2143">
        <v>0</v>
      </c>
    </row>
    <row s="50881" customFormat="1" customHeight="1" ht="18.75" hidden="1">
      <c r="A99" s="2883" t="s">
        <v>723</v>
      </c>
      <c r="C99" s="2148"/>
      <c r="D99" s="2150"/>
      <c r="E99" s="1058" t="str">
        <f>FHD_NUM_P_61</f>
        <v/>
      </c>
      <c r="F99" s="2392" t="str">
        <f>FHD_P_61</f>
        <v/>
      </c>
      <c r="G99" s="2390" t="s">
        <v>694</v>
      </c>
      <c r="H99" s="1491"/>
      <c r="I99" s="1254"/>
      <c r="J99" s="801" t="str">
        <f>FHD_NOTE_P_61</f>
        <v/>
      </c>
      <c r="K99" s="1055"/>
      <c r="L99" s="2148"/>
      <c r="M99" s="2148"/>
      <c r="R99" s="2148"/>
      <c r="U99" s="1056"/>
      <c r="AA99" s="2144"/>
      <c r="AB99" s="2144"/>
      <c r="AC99" s="2144"/>
      <c r="AD99" s="2144"/>
      <c r="AE99" s="2144"/>
      <c r="AF99" s="1672">
        <v>0</v>
      </c>
    </row>
    <row s="50882" customFormat="1" customHeight="1" ht="0.75" hidden="1">
      <c r="A100" s="2883"/>
      <c r="D100" s="1060"/>
      <c r="E100" s="1525" t="str">
        <f>E99&amp;".0"</f>
        <v>.0</v>
      </c>
      <c r="F100" s="1506"/>
      <c r="G100" s="1507"/>
      <c r="H100" s="1504"/>
      <c r="I100" s="1504"/>
      <c r="J100" s="1508"/>
      <c r="AF100" s="2148">
        <v>0</v>
      </c>
    </row>
    <row customHeight="1" ht="15" hidden="1">
      <c r="A101" s="2883"/>
      <c r="D101" s="2145"/>
      <c r="E101" s="1483"/>
      <c r="F101" s="1484" t="s">
        <v>724</v>
      </c>
      <c r="G101" s="1084"/>
      <c r="H101" s="1085"/>
      <c r="I101" s="1085"/>
      <c r="J101" s="1516" t="s">
        <v>725</v>
      </c>
      <c r="K101" s="1055"/>
      <c r="AF101" s="2143">
        <v>0</v>
      </c>
    </row>
    <row s="50881" customFormat="1" customHeight="1" ht="18.75" hidden="1">
      <c r="A102" s="2883"/>
      <c r="C102" s="2148"/>
      <c r="D102" s="2150"/>
      <c r="E102" s="1058" t="str">
        <f>FHD_NUM_P_62</f>
        <v/>
      </c>
      <c r="F102" s="2392" t="str">
        <f>FHD_P_62</f>
        <v/>
      </c>
      <c r="G102" s="2389" t="s">
        <v>694</v>
      </c>
      <c r="H102" s="1069"/>
      <c r="I102" s="1069"/>
      <c r="J102" s="801" t="str">
        <f>FHD_NOTE_P_62</f>
        <v/>
      </c>
      <c r="K102" s="1055"/>
      <c r="L102" s="2148"/>
      <c r="M102" s="2148"/>
      <c r="R102" s="2148"/>
      <c r="U102" s="1056"/>
      <c r="AA102" s="2144"/>
      <c r="AB102" s="2144"/>
      <c r="AC102" s="2144"/>
      <c r="AD102" s="2144"/>
      <c r="AE102" s="2144"/>
      <c r="AF102" s="1672">
        <v>0</v>
      </c>
    </row>
    <row s="50881" customFormat="1" customHeight="1" ht="18.75" hidden="1">
      <c r="A103" s="2883"/>
      <c r="C103" s="2148"/>
      <c r="D103" s="2150"/>
      <c r="E103" s="1058" t="str">
        <f>FHD_NUM_P_63</f>
        <v/>
      </c>
      <c r="F103" s="2392" t="str">
        <f>FHD_P_63</f>
        <v/>
      </c>
      <c r="G103" s="2389" t="s">
        <v>721</v>
      </c>
      <c r="H103" s="1089"/>
      <c r="I103" s="1089"/>
      <c r="J103" s="801" t="str">
        <f>FHD_NOTE_P_63</f>
        <v/>
      </c>
      <c r="K103" s="1055"/>
      <c r="L103" s="2148"/>
      <c r="M103" s="2148"/>
      <c r="R103" s="2148"/>
      <c r="U103" s="1056"/>
      <c r="AA103" s="2144"/>
      <c r="AB103" s="2144"/>
      <c r="AC103" s="2144"/>
      <c r="AD103" s="2144"/>
      <c r="AE103" s="2144"/>
      <c r="AF103" s="1672">
        <v>0</v>
      </c>
    </row>
    <row s="50881" customFormat="1" customHeight="1" ht="18.75" hidden="1">
      <c r="A104" s="2883"/>
      <c r="C104" s="2148" t="s">
        <v>726</v>
      </c>
      <c r="D104" s="2150"/>
      <c r="E104" s="1058" t="str">
        <f>FHD_NUM_P_64</f>
        <v/>
      </c>
      <c r="F104" s="2392" t="str">
        <f>FHD_P_64</f>
        <v/>
      </c>
      <c r="G104" s="2389" t="s">
        <v>721</v>
      </c>
      <c r="H104" s="1057"/>
      <c r="I104" s="1057"/>
      <c r="J104" s="801" t="str">
        <f>FHD_NOTE_P_64</f>
        <v/>
      </c>
      <c r="K104" s="1055"/>
      <c r="L104" s="2148"/>
      <c r="M104" s="2148"/>
      <c r="R104" s="2148"/>
      <c r="U104" s="1056"/>
      <c r="AA104" s="2144"/>
      <c r="AB104" s="2144"/>
      <c r="AC104" s="2144"/>
      <c r="AD104" s="2144"/>
      <c r="AE104" s="2144"/>
      <c r="AF104" s="1672">
        <v>0</v>
      </c>
    </row>
    <row s="50881" customFormat="1" customHeight="1" ht="18.75" hidden="1">
      <c r="A105" s="2883"/>
      <c r="C105" s="2148"/>
      <c r="D105" s="2150"/>
      <c r="E105" s="1058" t="str">
        <f>FHD_NUM_P_65</f>
        <v/>
      </c>
      <c r="F105" s="2392" t="str">
        <f>FHD_P_65</f>
        <v/>
      </c>
      <c r="G105" s="2389" t="s">
        <v>721</v>
      </c>
      <c r="H105" s="1089"/>
      <c r="I105" s="1089"/>
      <c r="J105" s="801" t="str">
        <f>FHD_NOTE_P_65</f>
        <v/>
      </c>
      <c r="K105" s="1055"/>
      <c r="L105" s="2148"/>
      <c r="M105" s="2148"/>
      <c r="R105" s="2148"/>
      <c r="U105" s="1056"/>
      <c r="AA105" s="2144"/>
      <c r="AB105" s="2144"/>
      <c r="AC105" s="2144"/>
      <c r="AD105" s="2144"/>
      <c r="AE105" s="2144"/>
      <c r="AF105" s="1672">
        <v>0</v>
      </c>
    </row>
    <row s="50881" customFormat="1" customHeight="1" ht="18.75" hidden="1">
      <c r="A106" s="2883"/>
      <c r="C106" s="2148"/>
      <c r="D106" s="2150"/>
      <c r="E106" s="1058" t="str">
        <f>FHD_NUM_P_66</f>
        <v/>
      </c>
      <c r="F106" s="2036" t="str">
        <f>FHD_P_66</f>
        <v/>
      </c>
      <c r="G106" s="2389" t="s">
        <v>721</v>
      </c>
      <c r="H106" s="1089"/>
      <c r="I106" s="1089"/>
      <c r="J106" s="801" t="str">
        <f>FHD_NOTE_P_66</f>
        <v/>
      </c>
      <c r="K106" s="1055"/>
      <c r="L106" s="2148"/>
      <c r="M106" s="2148"/>
      <c r="R106" s="2148"/>
      <c r="U106" s="1056"/>
      <c r="AA106" s="2144"/>
      <c r="AB106" s="2144"/>
      <c r="AC106" s="2144"/>
      <c r="AD106" s="2144"/>
      <c r="AE106" s="2144"/>
      <c r="AF106" s="1672">
        <v>0</v>
      </c>
    </row>
    <row s="50881" customFormat="1" customHeight="1" ht="18.75" hidden="1">
      <c r="A107" s="2883"/>
      <c r="C107" s="2148"/>
      <c r="D107" s="2150"/>
      <c r="E107" s="1058" t="str">
        <f>FHD_NUM_P_67</f>
        <v/>
      </c>
      <c r="F107" s="2162" t="str">
        <f>FHD_P_67</f>
        <v/>
      </c>
      <c r="G107" s="2389" t="s">
        <v>721</v>
      </c>
      <c r="H107" s="1089"/>
      <c r="I107" s="1089"/>
      <c r="J107" s="801" t="str">
        <f>FHD_NOTE_P_67</f>
        <v/>
      </c>
      <c r="K107" s="1055"/>
      <c r="L107" s="2148"/>
      <c r="M107" s="2148"/>
      <c r="R107" s="2148"/>
      <c r="U107" s="1056"/>
      <c r="AA107" s="2144"/>
      <c r="AB107" s="2144"/>
      <c r="AC107" s="2144"/>
      <c r="AD107" s="2144"/>
      <c r="AE107" s="2144"/>
      <c r="AF107" s="1672">
        <v>0</v>
      </c>
    </row>
    <row s="50881" customFormat="1" customHeight="1" ht="18.75" hidden="1">
      <c r="A108" s="2883"/>
      <c r="C108" s="2148"/>
      <c r="D108" s="2150"/>
      <c r="E108" s="1058" t="str">
        <f>FHD_NUM_P_68</f>
        <v/>
      </c>
      <c r="F108" s="2036" t="str">
        <f>FHD_P_68</f>
        <v/>
      </c>
      <c r="G108" s="2389" t="s">
        <v>721</v>
      </c>
      <c r="H108" s="1089"/>
      <c r="I108" s="1089"/>
      <c r="J108" s="801" t="str">
        <f>FHD_NOTE_P_68</f>
        <v/>
      </c>
      <c r="K108" s="1055"/>
      <c r="L108" s="2148"/>
      <c r="M108" s="2148"/>
      <c r="R108" s="2148"/>
      <c r="U108" s="1056"/>
      <c r="AA108" s="2144"/>
      <c r="AB108" s="2144"/>
      <c r="AC108" s="2144"/>
      <c r="AD108" s="2144"/>
      <c r="AE108" s="2144"/>
      <c r="AF108" s="1672">
        <v>0</v>
      </c>
    </row>
    <row s="50881" customFormat="1" customHeight="1" ht="18.75" hidden="1">
      <c r="A109" s="2883"/>
      <c r="C109" s="2148"/>
      <c r="D109" s="2150"/>
      <c r="E109" s="1058" t="str">
        <f>FHD_NUM_P_69</f>
        <v/>
      </c>
      <c r="F109" s="2036" t="str">
        <f>FHD_P_69</f>
        <v/>
      </c>
      <c r="G109" s="2389" t="s">
        <v>721</v>
      </c>
      <c r="H109" s="1089"/>
      <c r="I109" s="1089"/>
      <c r="J109" s="801" t="str">
        <f>FHD_NOTE_P_69</f>
        <v/>
      </c>
      <c r="K109" s="1055"/>
      <c r="L109" s="2148"/>
      <c r="M109" s="2148"/>
      <c r="R109" s="2148"/>
      <c r="U109" s="1056"/>
      <c r="AA109" s="2144"/>
      <c r="AB109" s="2144"/>
      <c r="AC109" s="2144"/>
      <c r="AD109" s="2144"/>
      <c r="AE109" s="2144"/>
      <c r="AF109" s="1672">
        <v>0</v>
      </c>
    </row>
    <row s="50881" customFormat="1" customHeight="1" ht="22.5" hidden="1">
      <c r="A110" s="2883"/>
      <c r="C110" s="2148"/>
      <c r="D110" s="2150"/>
      <c r="E110" s="1058" t="str">
        <f>FHD_NUM_P_70</f>
        <v/>
      </c>
      <c r="F110" s="2392" t="str">
        <f>FHD_P_70</f>
        <v/>
      </c>
      <c r="G110" s="2389" t="s">
        <v>727</v>
      </c>
      <c r="H110" s="1069"/>
      <c r="I110" s="1069"/>
      <c r="J110" s="801" t="str">
        <f>FHD_NOTE_P_70</f>
        <v/>
      </c>
      <c r="K110" s="1055"/>
      <c r="L110" s="2148"/>
      <c r="M110" s="2148"/>
      <c r="R110" s="2148"/>
      <c r="U110" s="1056"/>
      <c r="AA110" s="2144"/>
      <c r="AB110" s="2144"/>
      <c r="AC110" s="2144"/>
      <c r="AD110" s="2144"/>
      <c r="AE110" s="2144"/>
      <c r="AF110" s="1672">
        <v>0</v>
      </c>
    </row>
    <row s="50881" customFormat="1" customHeight="1" ht="22.5" hidden="1">
      <c r="A111" s="2883"/>
      <c r="C111" s="2148"/>
      <c r="D111" s="2150"/>
      <c r="E111" s="1058" t="str">
        <f>FHD_NUM_P_71</f>
        <v/>
      </c>
      <c r="F111" s="2392" t="str">
        <f>FHD_P_71</f>
        <v/>
      </c>
      <c r="G111" s="2389" t="s">
        <v>727</v>
      </c>
      <c r="H111" s="1069"/>
      <c r="I111" s="1069"/>
      <c r="J111" s="801" t="str">
        <f>FHD_NOTE_P_71</f>
        <v/>
      </c>
      <c r="K111" s="1055"/>
      <c r="L111" s="2148"/>
      <c r="M111" s="2148"/>
      <c r="R111" s="2148"/>
      <c r="U111" s="1056"/>
      <c r="AA111" s="2144"/>
      <c r="AB111" s="2144"/>
      <c r="AC111" s="2144"/>
      <c r="AD111" s="2144"/>
      <c r="AE111" s="2144"/>
      <c r="AF111" s="1672">
        <v>0</v>
      </c>
    </row>
    <row customHeight="1" ht="19.95">
      <c r="D112" s="2150"/>
      <c r="E112" s="1058" t="str">
        <f>FHD_NUM_P_72</f>
        <v>12</v>
      </c>
      <c r="F112" s="2392" t="str">
        <f>FHD_P_72</f>
        <v>Среднесписочная численность основного производственного персонала</v>
      </c>
      <c r="G112" s="2388" t="s">
        <v>728</v>
      </c>
      <c r="H112" s="1089"/>
      <c r="I112" s="1089"/>
      <c r="J112" s="801" t="str">
        <f>FHD_NOTE_P_72</f>
        <v/>
      </c>
      <c r="K112" s="1055"/>
      <c r="AF112" s="2143">
        <v>19</v>
      </c>
    </row>
    <row customHeight="1" ht="18.75" hidden="1">
      <c r="A113" s="1501" t="s">
        <v>729</v>
      </c>
      <c r="D113" s="2150"/>
      <c r="E113" s="1058" t="str">
        <f>FHD_NUM_P_73</f>
        <v/>
      </c>
      <c r="F113" s="2392" t="str">
        <f>FHD_P_73</f>
        <v/>
      </c>
      <c r="G113" s="1482" t="s">
        <v>728</v>
      </c>
      <c r="H113" s="1480"/>
      <c r="I113" s="1480"/>
      <c r="J113" s="801" t="str">
        <f>FHD_NOTE_P_73</f>
        <v/>
      </c>
      <c r="K113" s="1055"/>
      <c r="AF113" s="2143">
        <v>0</v>
      </c>
    </row>
    <row customHeight="1" ht="33.75">
      <c r="A114" s="1501" t="s">
        <v>730</v>
      </c>
      <c r="D114" s="2150"/>
      <c r="E114" s="1058" t="str">
        <f>FHD_NUM_P_74</f>
        <v>13</v>
      </c>
      <c r="F114" s="2392" t="str">
        <f>FHD_P_74</f>
        <v>Удельный расход электрической энергии на подачу воды в сеть</v>
      </c>
      <c r="G114" s="2388" t="s">
        <v>731</v>
      </c>
      <c r="H114" s="1089"/>
      <c r="I114" s="1089"/>
      <c r="J114" s="801" t="str">
        <f>FHD_NOTE_P_74</f>
        <v/>
      </c>
      <c r="K114" s="1055"/>
      <c r="AF114" s="2143">
        <v>0</v>
      </c>
    </row>
    <row s="50801" customFormat="1" customHeight="1" ht="18.75">
      <c r="A115" s="2885" t="s">
        <v>732</v>
      </c>
      <c r="B115" s="1422"/>
      <c r="C115" s="1247"/>
      <c r="D115" s="1245"/>
      <c r="E115" s="1058" t="str">
        <f>FHD_NUM_P_75</f>
        <v>14</v>
      </c>
      <c r="F115" s="2392" t="str">
        <f>FHD_P_75</f>
        <v>Расход воды на собственные нужды, в том числе:</v>
      </c>
      <c r="G115" s="2388" t="s">
        <v>696</v>
      </c>
      <c r="H115" s="1069"/>
      <c r="I115" s="1069"/>
      <c r="J115" s="801" t="str">
        <f>FHD_NOTE_P_75</f>
        <v>Указывается доля общего расхода воды на собственные нужны от объема отпуска воды потребителям.</v>
      </c>
      <c r="K115" s="1246"/>
      <c r="L115" s="1247"/>
      <c r="M115" s="1247"/>
      <c r="N115" s="1422"/>
      <c r="O115" s="1422"/>
      <c r="P115" s="1422"/>
      <c r="Q115" s="1422"/>
      <c r="R115" s="1247"/>
      <c r="S115" s="1422"/>
      <c r="T115" s="1422"/>
      <c r="U115" s="1248"/>
      <c r="V115" s="1422"/>
      <c r="W115" s="1422"/>
      <c r="X115" s="1422"/>
      <c r="Y115" s="1422"/>
      <c r="Z115" s="1422"/>
      <c r="AA115" s="1249"/>
      <c r="AB115" s="1249"/>
      <c r="AC115" s="1249"/>
      <c r="AD115" s="1249"/>
      <c r="AE115" s="1249"/>
      <c r="AF115" s="1251">
        <v>0</v>
      </c>
    </row>
    <row s="50801" customFormat="1" customHeight="1" ht="18.75">
      <c r="A116" s="2885"/>
      <c r="B116" s="1422"/>
      <c r="C116" s="1247"/>
      <c r="D116" s="1245"/>
      <c r="E116" s="1058" t="str">
        <f>FHD_NUM_P_76</f>
        <v>14.1</v>
      </c>
      <c r="F116" s="2392" t="str">
        <f>FHD_P_76</f>
        <v>Расход воды на хозяйственно-бытовые нужды</v>
      </c>
      <c r="G116" s="2388" t="s">
        <v>696</v>
      </c>
      <c r="H116" s="1069"/>
      <c r="I116" s="1069"/>
      <c r="J116" s="801" t="str">
        <f>FHD_NOTE_P_76</f>
        <v>Указывается доля расхода воды на хозяйственно-бытовые нужны от объема отпуска воды потребителям.</v>
      </c>
      <c r="K116" s="1246"/>
      <c r="L116" s="1247"/>
      <c r="M116" s="1247"/>
      <c r="N116" s="1422"/>
      <c r="O116" s="1422"/>
      <c r="P116" s="1422"/>
      <c r="Q116" s="1422"/>
      <c r="R116" s="1247"/>
      <c r="S116" s="1422"/>
      <c r="T116" s="1422"/>
      <c r="U116" s="1248"/>
      <c r="V116" s="1422"/>
      <c r="W116" s="1422"/>
      <c r="X116" s="1422"/>
      <c r="Y116" s="1422"/>
      <c r="Z116" s="1422"/>
      <c r="AA116" s="1249"/>
      <c r="AB116" s="1249"/>
      <c r="AC116" s="1249"/>
      <c r="AD116" s="1249"/>
      <c r="AE116" s="1249"/>
      <c r="AF116" s="1251">
        <v>0</v>
      </c>
    </row>
    <row s="50801" customFormat="1" customHeight="1" ht="18.75">
      <c r="A117" s="2885"/>
      <c r="B117" s="1422"/>
      <c r="C117" s="1247"/>
      <c r="D117" s="1245"/>
      <c r="E117" s="1058" t="str">
        <f>FHD_NUM_P_77</f>
        <v>15</v>
      </c>
      <c r="F117" s="2392" t="str">
        <f>FHD_P_77</f>
        <v>Показатель использования производственных объектов (по объему перекачки), в том числе:</v>
      </c>
      <c r="G117" s="2388" t="s">
        <v>696</v>
      </c>
      <c r="H117" s="1069"/>
      <c r="I117" s="1069"/>
      <c r="J117" s="801"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1246"/>
      <c r="L117" s="1247"/>
      <c r="M117" s="1247"/>
      <c r="N117" s="1422"/>
      <c r="O117" s="1422"/>
      <c r="P117" s="1422"/>
      <c r="Q117" s="1422"/>
      <c r="R117" s="1247"/>
      <c r="S117" s="1422"/>
      <c r="T117" s="1422"/>
      <c r="U117" s="1248"/>
      <c r="V117" s="1422"/>
      <c r="W117" s="1422"/>
      <c r="X117" s="1422"/>
      <c r="Y117" s="1422"/>
      <c r="Z117" s="1422"/>
      <c r="AA117" s="1249"/>
      <c r="AB117" s="1249"/>
      <c r="AC117" s="1249"/>
      <c r="AD117" s="1249"/>
      <c r="AE117" s="1249"/>
      <c r="AF117" s="1251">
        <v>0</v>
      </c>
    </row>
    <row s="50882" customFormat="1" customHeight="1" ht="0.75">
      <c r="A118" s="2885"/>
      <c r="D118" s="1060"/>
      <c r="E118" s="1525" t="str">
        <f>E117&amp;".0"</f>
        <v>15.0</v>
      </c>
      <c r="F118" s="1509"/>
      <c r="G118" s="2163"/>
      <c r="H118" s="1504"/>
      <c r="I118" s="1504"/>
      <c r="J118" s="1508"/>
      <c r="AF118" s="2148">
        <v>0</v>
      </c>
    </row>
    <row s="50801" customFormat="1" customHeight="1" ht="15">
      <c r="A119" s="2885"/>
      <c r="B119" s="1422"/>
      <c r="C119" s="1247"/>
      <c r="D119" s="1258"/>
      <c r="E119" s="1485"/>
      <c r="F119" s="1486" t="s">
        <v>733</v>
      </c>
      <c r="G119" s="1259"/>
      <c r="H119" s="1260"/>
      <c r="I119" s="1260"/>
      <c r="J119" s="1515" t="s">
        <v>734</v>
      </c>
      <c r="K119" s="1246"/>
      <c r="L119" s="1247"/>
      <c r="M119" s="1247"/>
      <c r="N119" s="1422"/>
      <c r="O119" s="1422"/>
      <c r="P119" s="1422"/>
      <c r="Q119" s="1422"/>
      <c r="R119" s="1247"/>
      <c r="S119" s="1422"/>
      <c r="T119" s="1422"/>
      <c r="U119" s="1248"/>
      <c r="V119" s="1422"/>
      <c r="W119" s="1422"/>
      <c r="X119" s="1422"/>
      <c r="Y119" s="1422"/>
      <c r="Z119" s="1422"/>
      <c r="AA119" s="1249"/>
      <c r="AB119" s="1249"/>
      <c r="AC119" s="1249"/>
      <c r="AD119" s="1249"/>
      <c r="AE119" s="1249"/>
      <c r="AF119" s="1251">
        <v>0</v>
      </c>
    </row>
    <row customHeight="1" ht="22.5" hidden="1">
      <c r="A120" s="2883" t="s">
        <v>735</v>
      </c>
      <c r="D120" s="2150"/>
      <c r="E120" s="1058" t="str">
        <f>FHD_NUM_P_78</f>
        <v/>
      </c>
      <c r="F120" s="2392" t="str">
        <f>FHD_P_78</f>
        <v/>
      </c>
      <c r="G120" s="2389" t="s">
        <v>698</v>
      </c>
      <c r="H120" s="1089"/>
      <c r="I120" s="1089"/>
      <c r="J120" s="801" t="str">
        <f>FHD_NOTE_P_78</f>
        <v/>
      </c>
      <c r="K120" s="1055"/>
      <c r="AF120" s="2143">
        <v>0</v>
      </c>
    </row>
    <row s="50882" customFormat="1" customHeight="1" ht="0.75" hidden="1">
      <c r="A121" s="2883"/>
      <c r="D121" s="1060"/>
      <c r="E121" s="1525" t="str">
        <f>E120&amp;".0"</f>
        <v>.0</v>
      </c>
      <c r="F121" s="1509"/>
      <c r="G121" s="2163"/>
      <c r="H121" s="1504"/>
      <c r="I121" s="1504"/>
      <c r="J121" s="1508"/>
      <c r="AF121" s="2148">
        <v>0</v>
      </c>
    </row>
    <row customHeight="1" ht="15" hidden="1">
      <c r="A122" s="2883"/>
      <c r="D122" s="2145"/>
      <c r="E122" s="1082"/>
      <c r="F122" s="1680" t="s">
        <v>724</v>
      </c>
      <c r="G122" s="1084"/>
      <c r="H122" s="1085"/>
      <c r="I122" s="1085"/>
      <c r="J122" s="1516" t="s">
        <v>736</v>
      </c>
      <c r="K122" s="1055"/>
      <c r="AF122" s="2143">
        <v>0</v>
      </c>
    </row>
    <row customHeight="1" ht="22.5" hidden="1">
      <c r="A123" s="2883"/>
      <c r="D123" s="2150"/>
      <c r="E123" s="1058" t="str">
        <f>FHD_NUM_P_79</f>
        <v/>
      </c>
      <c r="F123" s="2392" t="str">
        <f>FHD_P_79</f>
        <v/>
      </c>
      <c r="G123" s="2390" t="s">
        <v>700</v>
      </c>
      <c r="H123" s="1089"/>
      <c r="I123" s="1089"/>
      <c r="J123" s="801" t="str">
        <f>FHD_NOTE_P_79</f>
        <v/>
      </c>
      <c r="K123" s="1055"/>
      <c r="AF123" s="2143">
        <v>0</v>
      </c>
    </row>
    <row s="50882" customFormat="1" customHeight="1" ht="0.75" hidden="1">
      <c r="A124" s="2883"/>
      <c r="D124" s="1060"/>
      <c r="E124" s="1525" t="str">
        <f>E123&amp;".0"</f>
        <v>.0</v>
      </c>
      <c r="F124" s="1510"/>
      <c r="G124" s="2163"/>
      <c r="H124" s="1504"/>
      <c r="I124" s="1504"/>
      <c r="J124" s="1508"/>
      <c r="AF124" s="2148">
        <v>0</v>
      </c>
    </row>
    <row customHeight="1" ht="15" hidden="1">
      <c r="A125" s="2883"/>
      <c r="D125" s="2145"/>
      <c r="E125" s="1082"/>
      <c r="F125" s="1680" t="s">
        <v>724</v>
      </c>
      <c r="G125" s="1084"/>
      <c r="H125" s="1085"/>
      <c r="I125" s="1085"/>
      <c r="J125" s="1516" t="s">
        <v>737</v>
      </c>
      <c r="K125" s="1055"/>
      <c r="AF125" s="2143">
        <v>0</v>
      </c>
    </row>
    <row customHeight="1" ht="22.5" hidden="1">
      <c r="A126" s="2883"/>
      <c r="D126" s="2150"/>
      <c r="E126" s="1058" t="str">
        <f>FHD_NUM_P_80</f>
        <v/>
      </c>
      <c r="F126" s="2392" t="str">
        <f>FHD_P_80</f>
        <v/>
      </c>
      <c r="G126" s="2390" t="s">
        <v>738</v>
      </c>
      <c r="H126" s="1069"/>
      <c r="I126" s="1069"/>
      <c r="J126" s="801" t="str">
        <f>FHD_NOTE_P_80</f>
        <v/>
      </c>
      <c r="K126" s="1055"/>
      <c r="AF126" s="2143">
        <v>0</v>
      </c>
    </row>
    <row customHeight="1" ht="18.75" hidden="1">
      <c r="A127" s="2883"/>
      <c r="D127" s="2150"/>
      <c r="E127" s="1058" t="str">
        <f>FHD_NUM_P_81</f>
        <v/>
      </c>
      <c r="F127" s="2392" t="str">
        <f>FHD_P_81</f>
        <v/>
      </c>
      <c r="G127" s="2390" t="s">
        <v>739</v>
      </c>
      <c r="H127" s="1069"/>
      <c r="I127" s="1069"/>
      <c r="J127" s="801" t="str">
        <f>FHD_NOTE_P_81</f>
        <v/>
      </c>
      <c r="K127" s="1055"/>
      <c r="AF127" s="2143">
        <v>0</v>
      </c>
    </row>
    <row customHeight="1" ht="18.75" hidden="1">
      <c r="A128" s="2883"/>
      <c r="C128" s="2148" t="s">
        <v>726</v>
      </c>
      <c r="D128" s="2150"/>
      <c r="E128" s="1058" t="str">
        <f>FHD_NUM_P_82</f>
        <v/>
      </c>
      <c r="F128" s="2392" t="str">
        <f>FHD_P_82</f>
        <v/>
      </c>
      <c r="G128" s="2390" t="s">
        <v>445</v>
      </c>
      <c r="H128" s="913"/>
      <c r="I128" s="913"/>
      <c r="J128" s="801" t="str">
        <f>FHD_NOTE_P_82</f>
        <v/>
      </c>
      <c r="K128" s="1055"/>
      <c r="AF128" s="2143">
        <v>0</v>
      </c>
    </row>
    <row customHeight="1" ht="18.75" hidden="1">
      <c r="A129" s="2883"/>
      <c r="C129" s="2148" t="s">
        <v>726</v>
      </c>
      <c r="D129" s="2150"/>
      <c r="E129" s="1058" t="str">
        <f>FHD_NUM_P_83</f>
        <v/>
      </c>
      <c r="F129" s="2036" t="str">
        <f>FHD_P_83</f>
        <v/>
      </c>
      <c r="G129" s="2390" t="s">
        <v>445</v>
      </c>
      <c r="H129" s="913"/>
      <c r="I129" s="913"/>
      <c r="J129" s="801" t="str">
        <f>FHD_NOTE_P_83</f>
        <v/>
      </c>
      <c r="K129" s="1055"/>
      <c r="AF129" s="2143">
        <v>0</v>
      </c>
    </row>
    <row customHeight="1" ht="18.75" hidden="1">
      <c r="A130" s="2883"/>
      <c r="C130" s="2148" t="s">
        <v>726</v>
      </c>
      <c r="D130" s="2150"/>
      <c r="E130" s="1058" t="str">
        <f>FHD_NUM_P_84</f>
        <v/>
      </c>
      <c r="F130" s="2036" t="str">
        <f>FHD_P_84</f>
        <v/>
      </c>
      <c r="G130" s="2390" t="s">
        <v>445</v>
      </c>
      <c r="H130" s="913"/>
      <c r="I130" s="913"/>
      <c r="J130" s="801" t="str">
        <f>FHD_NOTE_P_84</f>
        <v/>
      </c>
      <c r="K130" s="1055"/>
      <c r="AF130" s="2143">
        <v>0</v>
      </c>
    </row>
    <row customHeight="1" ht="11.549999999999999">
      <c r="D131" s="2150"/>
      <c r="AF131" s="2143">
        <v>11</v>
      </c>
    </row>
    <row customHeight="1" ht="13.5">
      <c r="D132" s="2150"/>
      <c r="E132" s="848"/>
      <c r="F132" s="881"/>
      <c r="G132" s="881"/>
      <c r="H132" s="881"/>
      <c r="I132" s="2159"/>
      <c r="J132" s="1093"/>
      <c r="AF132" s="2143">
        <v>13</v>
      </c>
    </row>
    <row s="51564" customFormat="1" customHeight="1" ht="11.549999999999999">
      <c r="A133" s="1499"/>
      <c r="B133" s="2148"/>
      <c r="C133" s="2148"/>
      <c r="D133" s="863"/>
      <c r="F133" s="2152"/>
      <c r="G133" s="2143"/>
      <c r="H133" s="2143"/>
      <c r="I133" s="214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51564"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51564"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51564" customFormat="1" customHeight="1" ht="11.549999999999999">
      <c r="A136" s="1499"/>
      <c r="B136" s="2148"/>
      <c r="C136" s="2148"/>
      <c r="D136" s="863"/>
      <c r="H136" s="1078" t="str">
        <f>IF(H30-H31&lt;&gt;H72,"WARNING","")</f>
        <v/>
      </c>
      <c r="I136" s="1078" t="str">
        <f>IF(I30-I31&lt;&gt;I72,"WARNING","")</f>
        <v/>
      </c>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51564"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51564"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51564"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51564"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51564"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51564"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51564"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51564"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51564"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51564"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51564"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51564"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51564"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51564"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51564"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51564"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51564"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51564"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51564"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51564"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51564"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51564"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51564"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51564"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51564"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51564"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51564"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51564"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51564"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51564"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51564"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51564"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51564"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51564"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51564"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51564"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51564"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51564"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51564"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51564"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51564"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51564"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51564"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51564"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51564"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51564"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51564"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51564"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51564"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51564"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51564"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51564"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51564"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51564"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51564"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51564"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51564"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51564"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51564"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51564"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51564"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51564"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51564"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51564"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51564"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51564"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s="51564" customFormat="1" customHeight="1" ht="11.549999999999999">
      <c r="A203" s="1499"/>
      <c r="B203" s="2148"/>
      <c r="C203" s="2148"/>
      <c r="D203" s="863"/>
      <c r="K203" s="1672"/>
      <c r="L203" s="2148"/>
      <c r="M203" s="2148"/>
      <c r="N203" s="1672"/>
      <c r="O203" s="1672"/>
      <c r="P203" s="1672"/>
      <c r="Q203" s="1672"/>
      <c r="R203" s="2148"/>
      <c r="S203" s="1672"/>
      <c r="T203" s="1672"/>
      <c r="U203" s="1056"/>
      <c r="V203" s="1672"/>
      <c r="W203" s="1672"/>
      <c r="X203" s="1672"/>
      <c r="Y203" s="1672"/>
      <c r="Z203" s="1672"/>
      <c r="AA203" s="2144"/>
      <c r="AB203" s="1078"/>
      <c r="AC203" s="1078"/>
      <c r="AD203" s="1078"/>
      <c r="AE203" s="1078"/>
      <c r="AF203" s="2153">
        <v>11</v>
      </c>
    </row>
    <row s="51564" customFormat="1" customHeight="1" ht="11.549999999999999">
      <c r="A204" s="1499"/>
      <c r="B204" s="2148"/>
      <c r="C204" s="2148"/>
      <c r="D204" s="863"/>
      <c r="K204" s="1672"/>
      <c r="L204" s="2148"/>
      <c r="M204" s="2148"/>
      <c r="N204" s="1672"/>
      <c r="O204" s="1672"/>
      <c r="P204" s="1672"/>
      <c r="Q204" s="1672"/>
      <c r="R204" s="2148"/>
      <c r="S204" s="1672"/>
      <c r="T204" s="1672"/>
      <c r="U204" s="1056"/>
      <c r="V204" s="1672"/>
      <c r="W204" s="1672"/>
      <c r="X204" s="1672"/>
      <c r="Y204" s="1672"/>
      <c r="Z204" s="1672"/>
      <c r="AA204" s="2144"/>
      <c r="AB204" s="1078"/>
      <c r="AC204" s="1078"/>
      <c r="AD204" s="1078"/>
      <c r="AE204" s="1078"/>
      <c r="AF204" s="2153">
        <v>11</v>
      </c>
    </row>
    <row s="51564" customFormat="1" customHeight="1" ht="11.549999999999999">
      <c r="A205" s="1499"/>
      <c r="B205" s="2148"/>
      <c r="C205" s="2148"/>
      <c r="D205" s="863"/>
      <c r="K205" s="1672"/>
      <c r="L205" s="2148"/>
      <c r="M205" s="2148"/>
      <c r="N205" s="1672"/>
      <c r="O205" s="1672"/>
      <c r="P205" s="1672"/>
      <c r="Q205" s="1672"/>
      <c r="R205" s="2148"/>
      <c r="S205" s="1672"/>
      <c r="T205" s="1672"/>
      <c r="U205" s="1056"/>
      <c r="V205" s="1672"/>
      <c r="W205" s="1672"/>
      <c r="X205" s="1672"/>
      <c r="Y205" s="1672"/>
      <c r="Z205" s="1672"/>
      <c r="AA205" s="2144"/>
      <c r="AB205" s="1078"/>
      <c r="AC205" s="1078"/>
      <c r="AD205" s="1078"/>
      <c r="AE205" s="1078"/>
      <c r="AF205" s="2153">
        <v>11</v>
      </c>
    </row>
    <row s="51564" customFormat="1" customHeight="1" ht="11.549999999999999">
      <c r="A206" s="1499"/>
      <c r="B206" s="2148"/>
      <c r="C206" s="2148"/>
      <c r="D206" s="863"/>
      <c r="K206" s="1672"/>
      <c r="L206" s="2148"/>
      <c r="M206" s="2148"/>
      <c r="N206" s="1672"/>
      <c r="O206" s="1672"/>
      <c r="P206" s="1672"/>
      <c r="Q206" s="1672"/>
      <c r="R206" s="2148"/>
      <c r="S206" s="1672"/>
      <c r="T206" s="1672"/>
      <c r="U206" s="1056"/>
      <c r="V206" s="1672"/>
      <c r="W206" s="1672"/>
      <c r="X206" s="1672"/>
      <c r="Y206" s="1672"/>
      <c r="Z206" s="1672"/>
      <c r="AA206" s="2144"/>
      <c r="AB206" s="1078"/>
      <c r="AC206" s="1078"/>
      <c r="AD206" s="1078"/>
      <c r="AE206" s="1078"/>
      <c r="AF206" s="2153">
        <v>11</v>
      </c>
    </row>
    <row s="51564" customFormat="1" customHeight="1" ht="11.549999999999999">
      <c r="A207" s="1499"/>
      <c r="B207" s="2148"/>
      <c r="C207" s="2148"/>
      <c r="D207" s="863"/>
      <c r="K207" s="1672"/>
      <c r="L207" s="2148"/>
      <c r="M207" s="2148"/>
      <c r="N207" s="1672"/>
      <c r="O207" s="1672"/>
      <c r="P207" s="1672"/>
      <c r="Q207" s="1672"/>
      <c r="R207" s="2148"/>
      <c r="S207" s="1672"/>
      <c r="T207" s="1672"/>
      <c r="U207" s="1056"/>
      <c r="V207" s="1672"/>
      <c r="W207" s="1672"/>
      <c r="X207" s="1672"/>
      <c r="Y207" s="1672"/>
      <c r="Z207" s="1672"/>
      <c r="AA207" s="2144"/>
      <c r="AB207" s="1078"/>
      <c r="AC207" s="1078"/>
      <c r="AD207" s="1078"/>
      <c r="AE207" s="1078"/>
      <c r="AF207" s="2153">
        <v>11</v>
      </c>
    </row>
    <row s="51564" customFormat="1" customHeight="1" ht="11.549999999999999">
      <c r="A208" s="1499"/>
      <c r="B208" s="2148"/>
      <c r="C208" s="2148"/>
      <c r="D208" s="863"/>
      <c r="K208" s="1672"/>
      <c r="L208" s="2148"/>
      <c r="M208" s="2148"/>
      <c r="N208" s="1672"/>
      <c r="O208" s="1672"/>
      <c r="P208" s="1672"/>
      <c r="Q208" s="1672"/>
      <c r="R208" s="2148"/>
      <c r="S208" s="1672"/>
      <c r="T208" s="1672"/>
      <c r="U208" s="1056"/>
      <c r="V208" s="1672"/>
      <c r="W208" s="1672"/>
      <c r="X208" s="1672"/>
      <c r="Y208" s="1672"/>
      <c r="Z208" s="1672"/>
      <c r="AA208" s="2144"/>
      <c r="AB208" s="1078"/>
      <c r="AC208" s="1078"/>
      <c r="AD208" s="1078"/>
      <c r="AE208" s="1078"/>
      <c r="AF208" s="2153">
        <v>11</v>
      </c>
    </row>
    <row s="51564" customFormat="1" customHeight="1" ht="11.549999999999999">
      <c r="A209" s="1499"/>
      <c r="B209" s="2148"/>
      <c r="C209" s="2148"/>
      <c r="D209" s="863"/>
      <c r="K209" s="1672"/>
      <c r="L209" s="2148"/>
      <c r="M209" s="2148"/>
      <c r="N209" s="1672"/>
      <c r="O209" s="1672"/>
      <c r="P209" s="1672"/>
      <c r="Q209" s="1672"/>
      <c r="R209" s="2148"/>
      <c r="S209" s="1672"/>
      <c r="T209" s="1672"/>
      <c r="U209" s="1056"/>
      <c r="V209" s="1672"/>
      <c r="W209" s="1672"/>
      <c r="X209" s="1672"/>
      <c r="Y209" s="1672"/>
      <c r="Z209" s="1672"/>
      <c r="AA209" s="2144"/>
      <c r="AB209" s="1078"/>
      <c r="AC209" s="1078"/>
      <c r="AD209" s="1078"/>
      <c r="AE209" s="1078"/>
      <c r="AF209" s="2153">
        <v>11</v>
      </c>
    </row>
    <row s="51564" customFormat="1" customHeight="1" ht="11.549999999999999">
      <c r="A210" s="1499"/>
      <c r="B210" s="2148"/>
      <c r="C210" s="2148"/>
      <c r="D210" s="863"/>
      <c r="K210" s="1672"/>
      <c r="L210" s="2148"/>
      <c r="M210" s="2148"/>
      <c r="N210" s="1672"/>
      <c r="O210" s="1672"/>
      <c r="P210" s="1672"/>
      <c r="Q210" s="1672"/>
      <c r="R210" s="2148"/>
      <c r="S210" s="1672"/>
      <c r="T210" s="1672"/>
      <c r="U210" s="1056"/>
      <c r="V210" s="1672"/>
      <c r="W210" s="1672"/>
      <c r="X210" s="1672"/>
      <c r="Y210" s="1672"/>
      <c r="Z210" s="1672"/>
      <c r="AA210" s="2144"/>
      <c r="AB210" s="1078"/>
      <c r="AC210" s="1078"/>
      <c r="AD210" s="1078"/>
      <c r="AE210" s="1078"/>
      <c r="AF210" s="2153">
        <v>11</v>
      </c>
    </row>
    <row s="51564" customFormat="1" customHeight="1" ht="11.549999999999999">
      <c r="A211" s="1499"/>
      <c r="B211" s="2148"/>
      <c r="C211" s="2148"/>
      <c r="D211" s="863"/>
      <c r="K211" s="1672"/>
      <c r="L211" s="2148"/>
      <c r="M211" s="2148"/>
      <c r="N211" s="1672"/>
      <c r="O211" s="1672"/>
      <c r="P211" s="1672"/>
      <c r="Q211" s="1672"/>
      <c r="R211" s="2148"/>
      <c r="S211" s="1672"/>
      <c r="T211" s="1672"/>
      <c r="U211" s="1056"/>
      <c r="V211" s="1672"/>
      <c r="W211" s="1672"/>
      <c r="X211" s="1672"/>
      <c r="Y211" s="1672"/>
      <c r="Z211" s="1672"/>
      <c r="AA211" s="2144"/>
      <c r="AB211" s="1078"/>
      <c r="AC211" s="1078"/>
      <c r="AD211" s="1078"/>
      <c r="AE211" s="1078"/>
      <c r="AF211" s="2153">
        <v>11</v>
      </c>
    </row>
    <row s="51564" customFormat="1" customHeight="1" ht="11.549999999999999">
      <c r="A212" s="1499"/>
      <c r="B212" s="2148"/>
      <c r="C212" s="2148"/>
      <c r="D212" s="863"/>
      <c r="K212" s="1672"/>
      <c r="L212" s="2148"/>
      <c r="M212" s="2148"/>
      <c r="N212" s="1672"/>
      <c r="O212" s="1672"/>
      <c r="P212" s="1672"/>
      <c r="Q212" s="1672"/>
      <c r="R212" s="2148"/>
      <c r="S212" s="1672"/>
      <c r="T212" s="1672"/>
      <c r="U212" s="1056"/>
      <c r="V212" s="1672"/>
      <c r="W212" s="1672"/>
      <c r="X212" s="1672"/>
      <c r="Y212" s="1672"/>
      <c r="Z212" s="1672"/>
      <c r="AA212" s="2144"/>
      <c r="AB212" s="1078"/>
      <c r="AC212" s="1078"/>
      <c r="AD212" s="1078"/>
      <c r="AE212" s="1078"/>
      <c r="AF212" s="2153">
        <v>11</v>
      </c>
    </row>
    <row s="51564" customFormat="1" customHeight="1" ht="11.549999999999999">
      <c r="A213" s="1499"/>
      <c r="B213" s="2148"/>
      <c r="C213" s="2148"/>
      <c r="D213" s="863"/>
      <c r="K213" s="1672"/>
      <c r="L213" s="2148"/>
      <c r="M213" s="2148"/>
      <c r="N213" s="1672"/>
      <c r="O213" s="1672"/>
      <c r="P213" s="1672"/>
      <c r="Q213" s="1672"/>
      <c r="R213" s="2148"/>
      <c r="S213" s="1672"/>
      <c r="T213" s="1672"/>
      <c r="U213" s="1056"/>
      <c r="V213" s="1672"/>
      <c r="W213" s="1672"/>
      <c r="X213" s="1672"/>
      <c r="Y213" s="1672"/>
      <c r="Z213" s="1672"/>
      <c r="AA213" s="2144"/>
      <c r="AB213" s="1078"/>
      <c r="AC213" s="1078"/>
      <c r="AD213" s="1078"/>
      <c r="AE213" s="1078"/>
      <c r="AF213" s="2153">
        <v>11</v>
      </c>
    </row>
    <row s="51564" customFormat="1" customHeight="1" ht="11.549999999999999">
      <c r="A214" s="1499"/>
      <c r="B214" s="2148"/>
      <c r="C214" s="2148"/>
      <c r="D214" s="863"/>
      <c r="K214" s="1672"/>
      <c r="L214" s="2148"/>
      <c r="M214" s="2148"/>
      <c r="N214" s="1672"/>
      <c r="O214" s="1672"/>
      <c r="P214" s="1672"/>
      <c r="Q214" s="1672"/>
      <c r="R214" s="2148"/>
      <c r="S214" s="1672"/>
      <c r="T214" s="1672"/>
      <c r="U214" s="1056"/>
      <c r="V214" s="1672"/>
      <c r="W214" s="1672"/>
      <c r="X214" s="1672"/>
      <c r="Y214" s="1672"/>
      <c r="Z214" s="1672"/>
      <c r="AA214" s="2144"/>
      <c r="AB214" s="1078"/>
      <c r="AC214" s="1078"/>
      <c r="AD214" s="1078"/>
      <c r="AE214" s="1078"/>
      <c r="AF214" s="2153">
        <v>11</v>
      </c>
    </row>
    <row s="51564" customFormat="1" customHeight="1" ht="11.549999999999999">
      <c r="A215" s="1499"/>
      <c r="B215" s="2148"/>
      <c r="C215" s="2148"/>
      <c r="D215" s="863"/>
      <c r="K215" s="1672"/>
      <c r="L215" s="2148"/>
      <c r="M215" s="2148"/>
      <c r="N215" s="1672"/>
      <c r="O215" s="1672"/>
      <c r="P215" s="1672"/>
      <c r="Q215" s="1672"/>
      <c r="R215" s="2148"/>
      <c r="S215" s="1672"/>
      <c r="T215" s="1672"/>
      <c r="U215" s="1056"/>
      <c r="V215" s="1672"/>
      <c r="W215" s="1672"/>
      <c r="X215" s="1672"/>
      <c r="Y215" s="1672"/>
      <c r="Z215" s="1672"/>
      <c r="AA215" s="2144"/>
      <c r="AB215" s="1078"/>
      <c r="AC215" s="1078"/>
      <c r="AD215" s="1078"/>
      <c r="AE215" s="1078"/>
      <c r="AF215" s="2153">
        <v>11</v>
      </c>
    </row>
    <row s="51564" customFormat="1" customHeight="1" ht="11.549999999999999">
      <c r="A216" s="1499"/>
      <c r="B216" s="2148"/>
      <c r="C216" s="2148"/>
      <c r="D216" s="863"/>
      <c r="K216" s="1672"/>
      <c r="L216" s="2148"/>
      <c r="M216" s="2148"/>
      <c r="N216" s="1672"/>
      <c r="O216" s="1672"/>
      <c r="P216" s="1672"/>
      <c r="Q216" s="1672"/>
      <c r="R216" s="2148"/>
      <c r="S216" s="1672"/>
      <c r="T216" s="1672"/>
      <c r="U216" s="1056"/>
      <c r="V216" s="1672"/>
      <c r="W216" s="1672"/>
      <c r="X216" s="1672"/>
      <c r="Y216" s="1672"/>
      <c r="Z216" s="1672"/>
      <c r="AA216" s="2144"/>
      <c r="AB216" s="1078"/>
      <c r="AC216" s="1078"/>
      <c r="AD216" s="1078"/>
      <c r="AE216" s="1078"/>
      <c r="AF216" s="2153">
        <v>11</v>
      </c>
    </row>
    <row s="51564" customFormat="1" customHeight="1" ht="11.549999999999999">
      <c r="A217" s="1499"/>
      <c r="B217" s="2148"/>
      <c r="C217" s="2148"/>
      <c r="D217" s="863"/>
      <c r="K217" s="1672"/>
      <c r="L217" s="2148"/>
      <c r="M217" s="2148"/>
      <c r="N217" s="1672"/>
      <c r="O217" s="1672"/>
      <c r="P217" s="1672"/>
      <c r="Q217" s="1672"/>
      <c r="R217" s="2148"/>
      <c r="S217" s="1672"/>
      <c r="T217" s="1672"/>
      <c r="U217" s="1056"/>
      <c r="V217" s="1672"/>
      <c r="W217" s="1672"/>
      <c r="X217" s="1672"/>
      <c r="Y217" s="1672"/>
      <c r="Z217" s="1672"/>
      <c r="AA217" s="2144"/>
      <c r="AB217" s="1078"/>
      <c r="AC217" s="1078"/>
      <c r="AD217" s="1078"/>
      <c r="AE217" s="1078"/>
      <c r="AF217" s="2153">
        <v>11</v>
      </c>
    </row>
    <row s="51564" customFormat="1" customHeight="1" ht="11.549999999999999">
      <c r="A218" s="1499"/>
      <c r="B218" s="2148"/>
      <c r="C218" s="2148"/>
      <c r="D218" s="863"/>
      <c r="K218" s="1672"/>
      <c r="L218" s="2148"/>
      <c r="M218" s="2148"/>
      <c r="N218" s="1672"/>
      <c r="O218" s="1672"/>
      <c r="P218" s="1672"/>
      <c r="Q218" s="1672"/>
      <c r="R218" s="2148"/>
      <c r="S218" s="1672"/>
      <c r="T218" s="1672"/>
      <c r="U218" s="1056"/>
      <c r="V218" s="1672"/>
      <c r="W218" s="1672"/>
      <c r="X218" s="1672"/>
      <c r="Y218" s="1672"/>
      <c r="Z218" s="1672"/>
      <c r="AA218" s="2144"/>
      <c r="AB218" s="1078"/>
      <c r="AC218" s="1078"/>
      <c r="AD218" s="1078"/>
      <c r="AE218" s="1078"/>
      <c r="AF218" s="2153">
        <v>11</v>
      </c>
    </row>
    <row s="51564" customFormat="1" customHeight="1" ht="11.549999999999999">
      <c r="A219" s="1499"/>
      <c r="B219" s="2148"/>
      <c r="C219" s="2148"/>
      <c r="D219" s="863"/>
      <c r="K219" s="1672"/>
      <c r="L219" s="2148"/>
      <c r="M219" s="2148"/>
      <c r="N219" s="1672"/>
      <c r="O219" s="1672"/>
      <c r="P219" s="1672"/>
      <c r="Q219" s="1672"/>
      <c r="R219" s="2148"/>
      <c r="S219" s="1672"/>
      <c r="T219" s="1672"/>
      <c r="U219" s="1056"/>
      <c r="V219" s="1672"/>
      <c r="W219" s="1672"/>
      <c r="X219" s="1672"/>
      <c r="Y219" s="1672"/>
      <c r="Z219" s="1672"/>
      <c r="AA219" s="2144"/>
      <c r="AB219" s="1078"/>
      <c r="AC219" s="1078"/>
      <c r="AD219" s="1078"/>
      <c r="AE219" s="1078"/>
      <c r="AF219" s="2153">
        <v>11</v>
      </c>
    </row>
    <row s="51564" customFormat="1" customHeight="1" ht="11.549999999999999">
      <c r="A220" s="1499"/>
      <c r="B220" s="2148"/>
      <c r="C220" s="2148"/>
      <c r="D220" s="863"/>
      <c r="K220" s="1672"/>
      <c r="L220" s="2148"/>
      <c r="M220" s="2148"/>
      <c r="N220" s="1672"/>
      <c r="O220" s="1672"/>
      <c r="P220" s="1672"/>
      <c r="Q220" s="1672"/>
      <c r="R220" s="2148"/>
      <c r="S220" s="1672"/>
      <c r="T220" s="1672"/>
      <c r="U220" s="1056"/>
      <c r="V220" s="1672"/>
      <c r="W220" s="1672"/>
      <c r="X220" s="1672"/>
      <c r="Y220" s="1672"/>
      <c r="Z220" s="1672"/>
      <c r="AA220" s="2144"/>
      <c r="AB220" s="1078"/>
      <c r="AC220" s="1078"/>
      <c r="AD220" s="1078"/>
      <c r="AE220" s="1078"/>
      <c r="AF220" s="2153">
        <v>11</v>
      </c>
    </row>
    <row s="51564" customFormat="1" customHeight="1" ht="11.549999999999999">
      <c r="A221" s="1499"/>
      <c r="B221" s="2148"/>
      <c r="C221" s="2148"/>
      <c r="D221" s="863"/>
      <c r="K221" s="1672"/>
      <c r="L221" s="2148"/>
      <c r="M221" s="2148"/>
      <c r="N221" s="1672"/>
      <c r="O221" s="1672"/>
      <c r="P221" s="1672"/>
      <c r="Q221" s="1672"/>
      <c r="R221" s="2148"/>
      <c r="S221" s="1672"/>
      <c r="T221" s="1672"/>
      <c r="U221" s="1056"/>
      <c r="V221" s="1672"/>
      <c r="W221" s="1672"/>
      <c r="X221" s="1672"/>
      <c r="Y221" s="1672"/>
      <c r="Z221" s="1672"/>
      <c r="AA221" s="2144"/>
      <c r="AB221" s="1078"/>
      <c r="AC221" s="1078"/>
      <c r="AD221" s="1078"/>
      <c r="AE221" s="1078"/>
      <c r="AF221" s="2153">
        <v>11</v>
      </c>
    </row>
    <row s="51564" customFormat="1" customHeight="1" ht="11.549999999999999">
      <c r="A222" s="1499"/>
      <c r="B222" s="2148"/>
      <c r="C222" s="2148"/>
      <c r="D222" s="863"/>
      <c r="K222" s="1672"/>
      <c r="L222" s="2148"/>
      <c r="M222" s="2148"/>
      <c r="N222" s="1672"/>
      <c r="O222" s="1672"/>
      <c r="P222" s="1672"/>
      <c r="Q222" s="1672"/>
      <c r="R222" s="2148"/>
      <c r="S222" s="1672"/>
      <c r="T222" s="1672"/>
      <c r="U222" s="1056"/>
      <c r="V222" s="1672"/>
      <c r="W222" s="1672"/>
      <c r="X222" s="1672"/>
      <c r="Y222" s="1672"/>
      <c r="Z222" s="1672"/>
      <c r="AA222" s="2144"/>
      <c r="AB222" s="1078"/>
      <c r="AC222" s="1078"/>
      <c r="AD222" s="1078"/>
      <c r="AE222" s="1078"/>
      <c r="AF222" s="2153">
        <v>11</v>
      </c>
    </row>
    <row s="51564" customFormat="1" customHeight="1" ht="11.549999999999999">
      <c r="A223" s="1499"/>
      <c r="B223" s="2148"/>
      <c r="C223" s="2148"/>
      <c r="D223" s="863"/>
      <c r="K223" s="1672"/>
      <c r="L223" s="2148"/>
      <c r="M223" s="2148"/>
      <c r="N223" s="1672"/>
      <c r="O223" s="1672"/>
      <c r="P223" s="1672"/>
      <c r="Q223" s="1672"/>
      <c r="R223" s="2148"/>
      <c r="S223" s="1672"/>
      <c r="T223" s="1672"/>
      <c r="U223" s="1056"/>
      <c r="V223" s="1672"/>
      <c r="W223" s="1672"/>
      <c r="X223" s="1672"/>
      <c r="Y223" s="1672"/>
      <c r="Z223" s="1672"/>
      <c r="AA223" s="2144"/>
      <c r="AB223" s="1078"/>
      <c r="AC223" s="1078"/>
      <c r="AD223" s="1078"/>
      <c r="AE223" s="1078"/>
      <c r="AF223" s="2153">
        <v>11</v>
      </c>
    </row>
    <row s="51564" customFormat="1" customHeight="1" ht="11.549999999999999">
      <c r="A224" s="1499"/>
      <c r="B224" s="2148"/>
      <c r="C224" s="2148"/>
      <c r="D224" s="863"/>
      <c r="K224" s="1672"/>
      <c r="L224" s="2148"/>
      <c r="M224" s="2148"/>
      <c r="N224" s="1672"/>
      <c r="O224" s="1672"/>
      <c r="P224" s="1672"/>
      <c r="Q224" s="1672"/>
      <c r="R224" s="2148"/>
      <c r="S224" s="1672"/>
      <c r="T224" s="1672"/>
      <c r="U224" s="1056"/>
      <c r="V224" s="1672"/>
      <c r="W224" s="1672"/>
      <c r="X224" s="1672"/>
      <c r="Y224" s="1672"/>
      <c r="Z224" s="1672"/>
      <c r="AA224" s="2144"/>
      <c r="AB224" s="1078"/>
      <c r="AC224" s="1078"/>
      <c r="AD224" s="1078"/>
      <c r="AE224" s="1078"/>
      <c r="AF224" s="2153">
        <v>11</v>
      </c>
    </row>
    <row s="51564" customFormat="1" customHeight="1" ht="11.549999999999999">
      <c r="A225" s="1499"/>
      <c r="B225" s="2148"/>
      <c r="C225" s="2148"/>
      <c r="D225" s="863"/>
      <c r="K225" s="1672"/>
      <c r="L225" s="2148"/>
      <c r="M225" s="2148"/>
      <c r="N225" s="1672"/>
      <c r="O225" s="1672"/>
      <c r="P225" s="1672"/>
      <c r="Q225" s="1672"/>
      <c r="R225" s="2148"/>
      <c r="S225" s="1672"/>
      <c r="T225" s="1672"/>
      <c r="U225" s="1056"/>
      <c r="V225" s="1672"/>
      <c r="W225" s="1672"/>
      <c r="X225" s="1672"/>
      <c r="Y225" s="1672"/>
      <c r="Z225" s="1672"/>
      <c r="AA225" s="2144"/>
      <c r="AB225" s="1078"/>
      <c r="AC225" s="1078"/>
      <c r="AD225" s="1078"/>
      <c r="AE225" s="1078"/>
      <c r="AF225" s="2153">
        <v>11</v>
      </c>
    </row>
    <row s="51564" customFormat="1" customHeight="1" ht="11.549999999999999">
      <c r="A226" s="1499"/>
      <c r="B226" s="2148"/>
      <c r="C226" s="2148"/>
      <c r="D226" s="863"/>
      <c r="K226" s="1672"/>
      <c r="L226" s="2148"/>
      <c r="M226" s="2148"/>
      <c r="N226" s="1672"/>
      <c r="O226" s="1672"/>
      <c r="P226" s="1672"/>
      <c r="Q226" s="1672"/>
      <c r="R226" s="2148"/>
      <c r="S226" s="1672"/>
      <c r="T226" s="1672"/>
      <c r="U226" s="1056"/>
      <c r="V226" s="1672"/>
      <c r="W226" s="1672"/>
      <c r="X226" s="1672"/>
      <c r="Y226" s="1672"/>
      <c r="Z226" s="1672"/>
      <c r="AA226" s="2144"/>
      <c r="AB226" s="1078"/>
      <c r="AC226" s="1078"/>
      <c r="AD226" s="1078"/>
      <c r="AE226" s="1078"/>
      <c r="AF226" s="2153">
        <v>11</v>
      </c>
    </row>
    <row s="51564" customFormat="1" customHeight="1" ht="11.549999999999999">
      <c r="A227" s="1499"/>
      <c r="B227" s="2148"/>
      <c r="C227" s="2148"/>
      <c r="D227" s="863"/>
      <c r="K227" s="1672"/>
      <c r="L227" s="2148"/>
      <c r="M227" s="2148"/>
      <c r="N227" s="1672"/>
      <c r="O227" s="1672"/>
      <c r="P227" s="1672"/>
      <c r="Q227" s="1672"/>
      <c r="R227" s="2148"/>
      <c r="S227" s="1672"/>
      <c r="T227" s="1672"/>
      <c r="U227" s="1056"/>
      <c r="V227" s="1672"/>
      <c r="W227" s="1672"/>
      <c r="X227" s="1672"/>
      <c r="Y227" s="1672"/>
      <c r="Z227" s="1672"/>
      <c r="AA227" s="2144"/>
      <c r="AB227" s="1078"/>
      <c r="AC227" s="1078"/>
      <c r="AD227" s="1078"/>
      <c r="AE227" s="1078"/>
      <c r="AF227" s="2153">
        <v>11</v>
      </c>
    </row>
    <row s="51564" customFormat="1" customHeight="1" ht="11.549999999999999">
      <c r="A228" s="1499"/>
      <c r="B228" s="2148"/>
      <c r="C228" s="2148"/>
      <c r="D228" s="863"/>
      <c r="K228" s="1672"/>
      <c r="L228" s="2148"/>
      <c r="M228" s="2148"/>
      <c r="N228" s="1672"/>
      <c r="O228" s="1672"/>
      <c r="P228" s="1672"/>
      <c r="Q228" s="1672"/>
      <c r="R228" s="2148"/>
      <c r="S228" s="1672"/>
      <c r="T228" s="1672"/>
      <c r="U228" s="1056"/>
      <c r="V228" s="1672"/>
      <c r="W228" s="1672"/>
      <c r="X228" s="1672"/>
      <c r="Y228" s="1672"/>
      <c r="Z228" s="1672"/>
      <c r="AA228" s="2144"/>
      <c r="AB228" s="1078"/>
      <c r="AC228" s="1078"/>
      <c r="AD228" s="1078"/>
      <c r="AE228" s="1078"/>
      <c r="AF228" s="2153">
        <v>11</v>
      </c>
    </row>
    <row s="51564" customFormat="1" customHeight="1" ht="11.549999999999999">
      <c r="A229" s="1499"/>
      <c r="B229" s="2148"/>
      <c r="C229" s="2148"/>
      <c r="D229" s="863"/>
      <c r="K229" s="1672"/>
      <c r="L229" s="2148"/>
      <c r="M229" s="2148"/>
      <c r="N229" s="1672"/>
      <c r="O229" s="1672"/>
      <c r="P229" s="1672"/>
      <c r="Q229" s="1672"/>
      <c r="R229" s="2148"/>
      <c r="S229" s="1672"/>
      <c r="T229" s="1672"/>
      <c r="U229" s="1056"/>
      <c r="V229" s="1672"/>
      <c r="W229" s="1672"/>
      <c r="X229" s="1672"/>
      <c r="Y229" s="1672"/>
      <c r="Z229" s="1672"/>
      <c r="AA229" s="2144"/>
      <c r="AB229" s="1078"/>
      <c r="AC229" s="1078"/>
      <c r="AD229" s="1078"/>
      <c r="AE229" s="1078"/>
      <c r="AF229" s="2153">
        <v>11</v>
      </c>
    </row>
    <row s="51564" customFormat="1" customHeight="1" ht="11.549999999999999">
      <c r="A230" s="1499"/>
      <c r="B230" s="2148"/>
      <c r="C230" s="2148"/>
      <c r="D230" s="863"/>
      <c r="K230" s="1672"/>
      <c r="L230" s="2148"/>
      <c r="M230" s="2148"/>
      <c r="N230" s="1672"/>
      <c r="O230" s="1672"/>
      <c r="P230" s="1672"/>
      <c r="Q230" s="1672"/>
      <c r="R230" s="2148"/>
      <c r="S230" s="1672"/>
      <c r="T230" s="1672"/>
      <c r="U230" s="1056"/>
      <c r="V230" s="1672"/>
      <c r="W230" s="1672"/>
      <c r="X230" s="1672"/>
      <c r="Y230" s="1672"/>
      <c r="Z230" s="1672"/>
      <c r="AA230" s="2144"/>
      <c r="AB230" s="1078"/>
      <c r="AC230" s="1078"/>
      <c r="AD230" s="1078"/>
      <c r="AE230" s="1078"/>
      <c r="AF230" s="2153">
        <v>11</v>
      </c>
    </row>
    <row s="51564" customFormat="1" customHeight="1" ht="11.549999999999999">
      <c r="A231" s="1499"/>
      <c r="B231" s="2148"/>
      <c r="C231" s="2148"/>
      <c r="D231" s="863"/>
      <c r="K231" s="1672"/>
      <c r="L231" s="2148"/>
      <c r="M231" s="2148"/>
      <c r="N231" s="1672"/>
      <c r="O231" s="1672"/>
      <c r="P231" s="1672"/>
      <c r="Q231" s="1672"/>
      <c r="R231" s="2148"/>
      <c r="S231" s="1672"/>
      <c r="T231" s="1672"/>
      <c r="U231" s="1056"/>
      <c r="V231" s="1672"/>
      <c r="W231" s="1672"/>
      <c r="X231" s="1672"/>
      <c r="Y231" s="1672"/>
      <c r="Z231" s="1672"/>
      <c r="AA231" s="2144"/>
      <c r="AB231" s="1078"/>
      <c r="AC231" s="1078"/>
      <c r="AD231" s="1078"/>
      <c r="AE231" s="1078"/>
      <c r="AF231" s="2153">
        <v>11</v>
      </c>
    </row>
    <row s="51564" customFormat="1" customHeight="1" ht="11.549999999999999">
      <c r="A232" s="1499"/>
      <c r="B232" s="2148"/>
      <c r="C232" s="2148"/>
      <c r="D232" s="863"/>
      <c r="K232" s="1672"/>
      <c r="L232" s="2148"/>
      <c r="M232" s="2148"/>
      <c r="N232" s="1672"/>
      <c r="O232" s="1672"/>
      <c r="P232" s="1672"/>
      <c r="Q232" s="1672"/>
      <c r="R232" s="2148"/>
      <c r="S232" s="1672"/>
      <c r="T232" s="1672"/>
      <c r="U232" s="1056"/>
      <c r="V232" s="1672"/>
      <c r="W232" s="1672"/>
      <c r="X232" s="1672"/>
      <c r="Y232" s="1672"/>
      <c r="Z232" s="1672"/>
      <c r="AA232" s="2144"/>
      <c r="AB232" s="1078"/>
      <c r="AC232" s="1078"/>
      <c r="AD232" s="1078"/>
      <c r="AE232" s="1078"/>
      <c r="AF232" s="2153">
        <v>11</v>
      </c>
    </row>
    <row s="51564" customFormat="1" customHeight="1" ht="11.549999999999999">
      <c r="A233" s="1499"/>
      <c r="B233" s="2148"/>
      <c r="C233" s="2148"/>
      <c r="D233" s="863"/>
      <c r="K233" s="1672"/>
      <c r="L233" s="2148"/>
      <c r="M233" s="2148"/>
      <c r="N233" s="1672"/>
      <c r="O233" s="1672"/>
      <c r="P233" s="1672"/>
      <c r="Q233" s="1672"/>
      <c r="R233" s="2148"/>
      <c r="S233" s="1672"/>
      <c r="T233" s="1672"/>
      <c r="U233" s="1056"/>
      <c r="V233" s="1672"/>
      <c r="W233" s="1672"/>
      <c r="X233" s="1672"/>
      <c r="Y233" s="1672"/>
      <c r="Z233" s="1672"/>
      <c r="AA233" s="2144"/>
      <c r="AB233" s="1078"/>
      <c r="AC233" s="1078"/>
      <c r="AD233" s="1078"/>
      <c r="AE233" s="1078"/>
      <c r="AF233" s="2153">
        <v>11</v>
      </c>
    </row>
    <row s="51564" customFormat="1" customHeight="1" ht="11.549999999999999">
      <c r="A234" s="1499"/>
      <c r="B234" s="2148"/>
      <c r="C234" s="2148"/>
      <c r="D234" s="863"/>
      <c r="K234" s="1672"/>
      <c r="L234" s="2148"/>
      <c r="M234" s="2148"/>
      <c r="N234" s="1672"/>
      <c r="O234" s="1672"/>
      <c r="P234" s="1672"/>
      <c r="Q234" s="1672"/>
      <c r="R234" s="2148"/>
      <c r="S234" s="1672"/>
      <c r="T234" s="1672"/>
      <c r="U234" s="1056"/>
      <c r="V234" s="1672"/>
      <c r="W234" s="1672"/>
      <c r="X234" s="1672"/>
      <c r="Y234" s="1672"/>
      <c r="Z234" s="1672"/>
      <c r="AA234" s="2144"/>
      <c r="AB234" s="1078"/>
      <c r="AC234" s="1078"/>
      <c r="AD234" s="1078"/>
      <c r="AE234" s="1078"/>
      <c r="AF234" s="2153">
        <v>11</v>
      </c>
    </row>
    <row s="51564" customFormat="1" customHeight="1" ht="11.549999999999999">
      <c r="A235" s="1499"/>
      <c r="B235" s="2148"/>
      <c r="C235" s="2148"/>
      <c r="D235" s="863"/>
      <c r="K235" s="1672"/>
      <c r="L235" s="2148"/>
      <c r="M235" s="2148"/>
      <c r="N235" s="1672"/>
      <c r="O235" s="1672"/>
      <c r="P235" s="1672"/>
      <c r="Q235" s="1672"/>
      <c r="R235" s="2148"/>
      <c r="S235" s="1672"/>
      <c r="T235" s="1672"/>
      <c r="U235" s="1056"/>
      <c r="V235" s="1672"/>
      <c r="W235" s="1672"/>
      <c r="X235" s="1672"/>
      <c r="Y235" s="1672"/>
      <c r="Z235" s="1672"/>
      <c r="AA235" s="2144"/>
      <c r="AB235" s="1078"/>
      <c r="AC235" s="1078"/>
      <c r="AD235" s="1078"/>
      <c r="AE235" s="1078"/>
      <c r="AF235" s="2153">
        <v>11</v>
      </c>
    </row>
    <row s="51564" customFormat="1" customHeight="1" ht="11.549999999999999">
      <c r="A236" s="1499"/>
      <c r="B236" s="2148"/>
      <c r="C236" s="2148"/>
      <c r="D236" s="863"/>
      <c r="K236" s="1672"/>
      <c r="L236" s="2148"/>
      <c r="M236" s="2148"/>
      <c r="N236" s="1672"/>
      <c r="O236" s="1672"/>
      <c r="P236" s="1672"/>
      <c r="Q236" s="1672"/>
      <c r="R236" s="2148"/>
      <c r="S236" s="1672"/>
      <c r="T236" s="1672"/>
      <c r="U236" s="1056"/>
      <c r="V236" s="1672"/>
      <c r="W236" s="1672"/>
      <c r="X236" s="1672"/>
      <c r="Y236" s="1672"/>
      <c r="Z236" s="1672"/>
      <c r="AA236" s="2144"/>
      <c r="AB236" s="1078"/>
      <c r="AC236" s="1078"/>
      <c r="AD236" s="1078"/>
      <c r="AE236" s="1078"/>
      <c r="AF236" s="2153">
        <v>11</v>
      </c>
    </row>
    <row s="51564" customFormat="1" customHeight="1" ht="11.549999999999999">
      <c r="A237" s="1499"/>
      <c r="B237" s="2148"/>
      <c r="C237" s="2148"/>
      <c r="D237" s="863"/>
      <c r="K237" s="1672"/>
      <c r="L237" s="2148"/>
      <c r="M237" s="2148"/>
      <c r="N237" s="1672"/>
      <c r="O237" s="1672"/>
      <c r="P237" s="1672"/>
      <c r="Q237" s="1672"/>
      <c r="R237" s="2148"/>
      <c r="S237" s="1672"/>
      <c r="T237" s="1672"/>
      <c r="U237" s="1056"/>
      <c r="V237" s="1672"/>
      <c r="W237" s="1672"/>
      <c r="X237" s="1672"/>
      <c r="Y237" s="1672"/>
      <c r="Z237" s="1672"/>
      <c r="AA237" s="2144"/>
      <c r="AB237" s="1078"/>
      <c r="AC237" s="1078"/>
      <c r="AD237" s="1078"/>
      <c r="AE237" s="1078"/>
      <c r="AF237" s="2153">
        <v>11</v>
      </c>
    </row>
    <row s="51564" customFormat="1" customHeight="1" ht="11.549999999999999">
      <c r="A238" s="1499"/>
      <c r="B238" s="2148"/>
      <c r="C238" s="2148"/>
      <c r="D238" s="863"/>
      <c r="K238" s="1672"/>
      <c r="L238" s="2148"/>
      <c r="M238" s="2148"/>
      <c r="N238" s="1672"/>
      <c r="O238" s="1672"/>
      <c r="P238" s="1672"/>
      <c r="Q238" s="1672"/>
      <c r="R238" s="2148"/>
      <c r="S238" s="1672"/>
      <c r="T238" s="1672"/>
      <c r="U238" s="1056"/>
      <c r="V238" s="1672"/>
      <c r="W238" s="1672"/>
      <c r="X238" s="1672"/>
      <c r="Y238" s="1672"/>
      <c r="Z238" s="1672"/>
      <c r="AA238" s="2144"/>
      <c r="AB238" s="1078"/>
      <c r="AC238" s="1078"/>
      <c r="AD238" s="1078"/>
      <c r="AE238" s="1078"/>
      <c r="AF238" s="2153">
        <v>11</v>
      </c>
    </row>
    <row s="51564" customFormat="1" customHeight="1" ht="11.549999999999999">
      <c r="A239" s="1499"/>
      <c r="B239" s="2148"/>
      <c r="C239" s="2148"/>
      <c r="D239" s="863"/>
      <c r="K239" s="1672"/>
      <c r="L239" s="2148"/>
      <c r="M239" s="2148"/>
      <c r="N239" s="1672"/>
      <c r="O239" s="1672"/>
      <c r="P239" s="1672"/>
      <c r="Q239" s="1672"/>
      <c r="R239" s="2148"/>
      <c r="S239" s="1672"/>
      <c r="T239" s="1672"/>
      <c r="U239" s="1056"/>
      <c r="V239" s="1672"/>
      <c r="W239" s="1672"/>
      <c r="X239" s="1672"/>
      <c r="Y239" s="1672"/>
      <c r="Z239" s="1672"/>
      <c r="AA239" s="2144"/>
      <c r="AB239" s="1078"/>
      <c r="AC239" s="1078"/>
      <c r="AD239" s="1078"/>
      <c r="AE239" s="1078"/>
      <c r="AF239" s="2153">
        <v>11</v>
      </c>
    </row>
    <row s="51564" customFormat="1" customHeight="1" ht="11.549999999999999">
      <c r="A240" s="1499"/>
      <c r="B240" s="2148"/>
      <c r="C240" s="2148"/>
      <c r="D240" s="863"/>
      <c r="K240" s="1672"/>
      <c r="L240" s="2148"/>
      <c r="M240" s="2148"/>
      <c r="N240" s="1672"/>
      <c r="O240" s="1672"/>
      <c r="P240" s="1672"/>
      <c r="Q240" s="1672"/>
      <c r="R240" s="2148"/>
      <c r="S240" s="1672"/>
      <c r="T240" s="1672"/>
      <c r="U240" s="1056"/>
      <c r="V240" s="1672"/>
      <c r="W240" s="1672"/>
      <c r="X240" s="1672"/>
      <c r="Y240" s="1672"/>
      <c r="Z240" s="1672"/>
      <c r="AA240" s="2144"/>
      <c r="AB240" s="1078"/>
      <c r="AC240" s="1078"/>
      <c r="AD240" s="1078"/>
      <c r="AE240" s="1078"/>
      <c r="AF240" s="2153">
        <v>11</v>
      </c>
    </row>
    <row s="51564" customFormat="1" customHeight="1" ht="11.549999999999999">
      <c r="A241" s="1499"/>
      <c r="B241" s="2148"/>
      <c r="C241" s="2148"/>
      <c r="D241" s="863"/>
      <c r="K241" s="1672"/>
      <c r="L241" s="2148"/>
      <c r="M241" s="2148"/>
      <c r="N241" s="1672"/>
      <c r="O241" s="1672"/>
      <c r="P241" s="1672"/>
      <c r="Q241" s="1672"/>
      <c r="R241" s="2148"/>
      <c r="S241" s="1672"/>
      <c r="T241" s="1672"/>
      <c r="U241" s="1056"/>
      <c r="V241" s="1672"/>
      <c r="W241" s="1672"/>
      <c r="X241" s="1672"/>
      <c r="Y241" s="1672"/>
      <c r="Z241" s="1672"/>
      <c r="AA241" s="2144"/>
      <c r="AB241" s="1078"/>
      <c r="AC241" s="1078"/>
      <c r="AD241" s="1078"/>
      <c r="AE241" s="1078"/>
      <c r="AF241" s="2153">
        <v>11</v>
      </c>
    </row>
    <row s="51564" customFormat="1" customHeight="1" ht="11.549999999999999">
      <c r="A242" s="1499"/>
      <c r="B242" s="2148"/>
      <c r="C242" s="2148"/>
      <c r="D242" s="863"/>
      <c r="K242" s="1672"/>
      <c r="L242" s="2148"/>
      <c r="M242" s="2148"/>
      <c r="N242" s="1672"/>
      <c r="O242" s="1672"/>
      <c r="P242" s="1672"/>
      <c r="Q242" s="1672"/>
      <c r="R242" s="2148"/>
      <c r="S242" s="1672"/>
      <c r="T242" s="1672"/>
      <c r="U242" s="1056"/>
      <c r="V242" s="1672"/>
      <c r="W242" s="1672"/>
      <c r="X242" s="1672"/>
      <c r="Y242" s="1672"/>
      <c r="Z242" s="1672"/>
      <c r="AA242" s="2144"/>
      <c r="AB242" s="1078"/>
      <c r="AC242" s="1078"/>
      <c r="AD242" s="1078"/>
      <c r="AE242" s="1078"/>
      <c r="AF242" s="2153">
        <v>11</v>
      </c>
    </row>
    <row s="51564" customFormat="1" customHeight="1" ht="11.549999999999999">
      <c r="A243" s="1499"/>
      <c r="B243" s="2148"/>
      <c r="C243" s="2148"/>
      <c r="D243" s="863"/>
      <c r="K243" s="1672"/>
      <c r="L243" s="2148"/>
      <c r="M243" s="2148"/>
      <c r="N243" s="1672"/>
      <c r="O243" s="1672"/>
      <c r="P243" s="1672"/>
      <c r="Q243" s="1672"/>
      <c r="R243" s="2148"/>
      <c r="S243" s="1672"/>
      <c r="T243" s="1672"/>
      <c r="U243" s="1056"/>
      <c r="V243" s="1672"/>
      <c r="W243" s="1672"/>
      <c r="X243" s="1672"/>
      <c r="Y243" s="1672"/>
      <c r="Z243" s="1672"/>
      <c r="AA243" s="2144"/>
      <c r="AB243" s="1078"/>
      <c r="AC243" s="1078"/>
      <c r="AD243" s="1078"/>
      <c r="AE243" s="1078"/>
      <c r="AF243" s="2153">
        <v>11</v>
      </c>
    </row>
    <row s="51564" customFormat="1" customHeight="1" ht="11.549999999999999">
      <c r="A244" s="1499"/>
      <c r="B244" s="2148"/>
      <c r="C244" s="2148"/>
      <c r="D244" s="863"/>
      <c r="K244" s="1672"/>
      <c r="L244" s="2148"/>
      <c r="M244" s="2148"/>
      <c r="N244" s="1672"/>
      <c r="O244" s="1672"/>
      <c r="P244" s="1672"/>
      <c r="Q244" s="1672"/>
      <c r="R244" s="2148"/>
      <c r="S244" s="1672"/>
      <c r="T244" s="1672"/>
      <c r="U244" s="1056"/>
      <c r="V244" s="1672"/>
      <c r="W244" s="1672"/>
      <c r="X244" s="1672"/>
      <c r="Y244" s="1672"/>
      <c r="Z244" s="1672"/>
      <c r="AA244" s="2144"/>
      <c r="AB244" s="1078"/>
      <c r="AC244" s="1078"/>
      <c r="AD244" s="1078"/>
      <c r="AE244" s="1078"/>
      <c r="AF244" s="2153">
        <v>11</v>
      </c>
    </row>
    <row s="51564" customFormat="1" customHeight="1" ht="11.549999999999999">
      <c r="A245" s="1499"/>
      <c r="B245" s="2148"/>
      <c r="C245" s="2148"/>
      <c r="D245" s="863"/>
      <c r="K245" s="1672"/>
      <c r="L245" s="2148"/>
      <c r="M245" s="2148"/>
      <c r="N245" s="1672"/>
      <c r="O245" s="1672"/>
      <c r="P245" s="1672"/>
      <c r="Q245" s="1672"/>
      <c r="R245" s="2148"/>
      <c r="S245" s="1672"/>
      <c r="T245" s="1672"/>
      <c r="U245" s="1056"/>
      <c r="V245" s="1672"/>
      <c r="W245" s="1672"/>
      <c r="X245" s="1672"/>
      <c r="Y245" s="1672"/>
      <c r="Z245" s="1672"/>
      <c r="AA245" s="2144"/>
      <c r="AB245" s="1078"/>
      <c r="AC245" s="1078"/>
      <c r="AD245" s="1078"/>
      <c r="AE245" s="1078"/>
      <c r="AF245" s="2153">
        <v>11</v>
      </c>
    </row>
    <row s="51564" customFormat="1" customHeight="1" ht="11.549999999999999">
      <c r="A246" s="1499"/>
      <c r="B246" s="2148"/>
      <c r="C246" s="2148"/>
      <c r="D246" s="863"/>
      <c r="K246" s="1672"/>
      <c r="L246" s="2148"/>
      <c r="M246" s="2148"/>
      <c r="N246" s="1672"/>
      <c r="O246" s="1672"/>
      <c r="P246" s="1672"/>
      <c r="Q246" s="1672"/>
      <c r="R246" s="2148"/>
      <c r="S246" s="1672"/>
      <c r="T246" s="1672"/>
      <c r="U246" s="1056"/>
      <c r="V246" s="1672"/>
      <c r="W246" s="1672"/>
      <c r="X246" s="1672"/>
      <c r="Y246" s="1672"/>
      <c r="Z246" s="1672"/>
      <c r="AA246" s="2144"/>
      <c r="AB246" s="1078"/>
      <c r="AC246" s="1078"/>
      <c r="AD246" s="1078"/>
      <c r="AE246" s="1078"/>
      <c r="AF246" s="2153">
        <v>11</v>
      </c>
    </row>
    <row s="51564" customFormat="1" customHeight="1" ht="11.549999999999999">
      <c r="A247" s="1499"/>
      <c r="B247" s="2148"/>
      <c r="C247" s="2148"/>
      <c r="D247" s="863"/>
      <c r="K247" s="1672"/>
      <c r="L247" s="2148"/>
      <c r="M247" s="2148"/>
      <c r="N247" s="1672"/>
      <c r="O247" s="1672"/>
      <c r="P247" s="1672"/>
      <c r="Q247" s="1672"/>
      <c r="R247" s="2148"/>
      <c r="S247" s="1672"/>
      <c r="T247" s="1672"/>
      <c r="U247" s="1056"/>
      <c r="V247" s="1672"/>
      <c r="W247" s="1672"/>
      <c r="X247" s="1672"/>
      <c r="Y247" s="1672"/>
      <c r="Z247" s="1672"/>
      <c r="AA247" s="2144"/>
      <c r="AB247" s="1078"/>
      <c r="AC247" s="1078"/>
      <c r="AD247" s="1078"/>
      <c r="AE247" s="1078"/>
      <c r="AF247" s="2153">
        <v>11</v>
      </c>
    </row>
    <row s="51564" customFormat="1" customHeight="1" ht="11.549999999999999">
      <c r="A248" s="1499"/>
      <c r="B248" s="2148"/>
      <c r="C248" s="2148"/>
      <c r="D248" s="863"/>
      <c r="K248" s="1672"/>
      <c r="L248" s="2148"/>
      <c r="M248" s="2148"/>
      <c r="N248" s="1672"/>
      <c r="O248" s="1672"/>
      <c r="P248" s="1672"/>
      <c r="Q248" s="1672"/>
      <c r="R248" s="2148"/>
      <c r="S248" s="1672"/>
      <c r="T248" s="1672"/>
      <c r="U248" s="1056"/>
      <c r="V248" s="1672"/>
      <c r="W248" s="1672"/>
      <c r="X248" s="1672"/>
      <c r="Y248" s="1672"/>
      <c r="Z248" s="1672"/>
      <c r="AA248" s="2144"/>
      <c r="AB248" s="1078"/>
      <c r="AC248" s="1078"/>
      <c r="AD248" s="1078"/>
      <c r="AE248" s="1078"/>
      <c r="AF248" s="2153">
        <v>11</v>
      </c>
    </row>
    <row s="51564" customFormat="1" customHeight="1" ht="11.549999999999999">
      <c r="A249" s="1499"/>
      <c r="B249" s="2148"/>
      <c r="C249" s="2148"/>
      <c r="D249" s="863"/>
      <c r="K249" s="1672"/>
      <c r="L249" s="2148"/>
      <c r="M249" s="2148"/>
      <c r="N249" s="1672"/>
      <c r="O249" s="1672"/>
      <c r="P249" s="1672"/>
      <c r="Q249" s="1672"/>
      <c r="R249" s="2148"/>
      <c r="S249" s="1672"/>
      <c r="T249" s="1672"/>
      <c r="U249" s="1056"/>
      <c r="V249" s="1672"/>
      <c r="W249" s="1672"/>
      <c r="X249" s="1672"/>
      <c r="Y249" s="1672"/>
      <c r="Z249" s="1672"/>
      <c r="AA249" s="2144"/>
      <c r="AB249" s="1078"/>
      <c r="AC249" s="1078"/>
      <c r="AD249" s="1078"/>
      <c r="AE249" s="1078"/>
      <c r="AF249" s="2153">
        <v>11</v>
      </c>
    </row>
    <row s="51564" customFormat="1" customHeight="1" ht="11.549999999999999">
      <c r="A250" s="1499"/>
      <c r="B250" s="2148"/>
      <c r="C250" s="2148"/>
      <c r="D250" s="863"/>
      <c r="K250" s="1672"/>
      <c r="L250" s="2148"/>
      <c r="M250" s="2148"/>
      <c r="N250" s="1672"/>
      <c r="O250" s="1672"/>
      <c r="P250" s="1672"/>
      <c r="Q250" s="1672"/>
      <c r="R250" s="2148"/>
      <c r="S250" s="1672"/>
      <c r="T250" s="1672"/>
      <c r="U250" s="1056"/>
      <c r="V250" s="1672"/>
      <c r="W250" s="1672"/>
      <c r="X250" s="1672"/>
      <c r="Y250" s="1672"/>
      <c r="Z250" s="1672"/>
      <c r="AA250" s="2144"/>
      <c r="AB250" s="1078"/>
      <c r="AC250" s="1078"/>
      <c r="AD250" s="1078"/>
      <c r="AE250" s="1078"/>
      <c r="AF250" s="2153">
        <v>11</v>
      </c>
    </row>
    <row s="51564" customFormat="1" customHeight="1" ht="11.549999999999999">
      <c r="A251" s="1499"/>
      <c r="B251" s="2148"/>
      <c r="C251" s="2148"/>
      <c r="D251" s="863"/>
      <c r="K251" s="1672"/>
      <c r="L251" s="2148"/>
      <c r="M251" s="2148"/>
      <c r="N251" s="1672"/>
      <c r="O251" s="1672"/>
      <c r="P251" s="1672"/>
      <c r="Q251" s="1672"/>
      <c r="R251" s="2148"/>
      <c r="S251" s="1672"/>
      <c r="T251" s="1672"/>
      <c r="U251" s="1056"/>
      <c r="V251" s="1672"/>
      <c r="W251" s="1672"/>
      <c r="X251" s="1672"/>
      <c r="Y251" s="1672"/>
      <c r="Z251" s="1672"/>
      <c r="AA251" s="2144"/>
      <c r="AB251" s="1078"/>
      <c r="AC251" s="1078"/>
      <c r="AD251" s="1078"/>
      <c r="AE251" s="1078"/>
      <c r="AF251" s="2153">
        <v>11</v>
      </c>
    </row>
    <row s="51564" customFormat="1" customHeight="1" ht="11.549999999999999">
      <c r="A252" s="1499"/>
      <c r="B252" s="2148"/>
      <c r="C252" s="2148"/>
      <c r="D252" s="863"/>
      <c r="K252" s="1672"/>
      <c r="L252" s="2148"/>
      <c r="M252" s="2148"/>
      <c r="N252" s="1672"/>
      <c r="O252" s="1672"/>
      <c r="P252" s="1672"/>
      <c r="Q252" s="1672"/>
      <c r="R252" s="2148"/>
      <c r="S252" s="1672"/>
      <c r="T252" s="1672"/>
      <c r="U252" s="1056"/>
      <c r="V252" s="1672"/>
      <c r="W252" s="1672"/>
      <c r="X252" s="1672"/>
      <c r="Y252" s="1672"/>
      <c r="Z252" s="1672"/>
      <c r="AA252" s="2144"/>
      <c r="AB252" s="1078"/>
      <c r="AC252" s="1078"/>
      <c r="AD252" s="1078"/>
      <c r="AE252" s="1078"/>
      <c r="AF252" s="2153">
        <v>11</v>
      </c>
    </row>
    <row s="51564" customFormat="1" customHeight="1" ht="11.549999999999999">
      <c r="A253" s="1499"/>
      <c r="B253" s="2148"/>
      <c r="C253" s="2148"/>
      <c r="D253" s="863"/>
      <c r="K253" s="1672"/>
      <c r="L253" s="2148"/>
      <c r="M253" s="2148"/>
      <c r="N253" s="1672"/>
      <c r="O253" s="1672"/>
      <c r="P253" s="1672"/>
      <c r="Q253" s="1672"/>
      <c r="R253" s="2148"/>
      <c r="S253" s="1672"/>
      <c r="T253" s="1672"/>
      <c r="U253" s="1056"/>
      <c r="V253" s="1672"/>
      <c r="W253" s="1672"/>
      <c r="X253" s="1672"/>
      <c r="Y253" s="1672"/>
      <c r="Z253" s="1672"/>
      <c r="AA253" s="2144"/>
      <c r="AB253" s="1078"/>
      <c r="AC253" s="1078"/>
      <c r="AD253" s="1078"/>
      <c r="AE253" s="1078"/>
      <c r="AF253" s="2153">
        <v>11</v>
      </c>
    </row>
    <row s="51564" customFormat="1" customHeight="1" ht="11.549999999999999">
      <c r="A254" s="1499"/>
      <c r="B254" s="2148"/>
      <c r="C254" s="2148"/>
      <c r="D254" s="863"/>
      <c r="K254" s="1672"/>
      <c r="L254" s="2148"/>
      <c r="M254" s="2148"/>
      <c r="N254" s="1672"/>
      <c r="O254" s="1672"/>
      <c r="P254" s="1672"/>
      <c r="Q254" s="1672"/>
      <c r="R254" s="2148"/>
      <c r="S254" s="1672"/>
      <c r="T254" s="1672"/>
      <c r="U254" s="1056"/>
      <c r="V254" s="1672"/>
      <c r="W254" s="1672"/>
      <c r="X254" s="1672"/>
      <c r="Y254" s="1672"/>
      <c r="Z254" s="1672"/>
      <c r="AA254" s="2144"/>
      <c r="AB254" s="1078"/>
      <c r="AC254" s="1078"/>
      <c r="AD254" s="1078"/>
      <c r="AE254" s="1078"/>
      <c r="AF254" s="2153">
        <v>11</v>
      </c>
    </row>
    <row s="51564" customFormat="1" customHeight="1" ht="11.549999999999999">
      <c r="A255" s="1499"/>
      <c r="B255" s="2148"/>
      <c r="C255" s="2148"/>
      <c r="D255" s="863"/>
      <c r="K255" s="1672"/>
      <c r="L255" s="2148"/>
      <c r="M255" s="2148"/>
      <c r="N255" s="1672"/>
      <c r="O255" s="1672"/>
      <c r="P255" s="1672"/>
      <c r="Q255" s="1672"/>
      <c r="R255" s="2148"/>
      <c r="S255" s="1672"/>
      <c r="T255" s="1672"/>
      <c r="U255" s="1056"/>
      <c r="V255" s="1672"/>
      <c r="W255" s="1672"/>
      <c r="X255" s="1672"/>
      <c r="Y255" s="1672"/>
      <c r="Z255" s="1672"/>
      <c r="AA255" s="2144"/>
      <c r="AB255" s="1078"/>
      <c r="AC255" s="1078"/>
      <c r="AD255" s="1078"/>
      <c r="AE255" s="1078"/>
      <c r="AF255" s="2153">
        <v>11</v>
      </c>
    </row>
    <row s="51564" customFormat="1" customHeight="1" ht="11.549999999999999">
      <c r="A256" s="1499"/>
      <c r="B256" s="2148"/>
      <c r="C256" s="2148"/>
      <c r="D256" s="863"/>
      <c r="K256" s="1672"/>
      <c r="L256" s="2148"/>
      <c r="M256" s="2148"/>
      <c r="N256" s="1672"/>
      <c r="O256" s="1672"/>
      <c r="P256" s="1672"/>
      <c r="Q256" s="1672"/>
      <c r="R256" s="2148"/>
      <c r="S256" s="1672"/>
      <c r="T256" s="1672"/>
      <c r="U256" s="1056"/>
      <c r="V256" s="1672"/>
      <c r="W256" s="1672"/>
      <c r="X256" s="1672"/>
      <c r="Y256" s="1672"/>
      <c r="Z256" s="1672"/>
      <c r="AA256" s="2144"/>
      <c r="AB256" s="1078"/>
      <c r="AC256" s="1078"/>
      <c r="AD256" s="1078"/>
      <c r="AE256" s="1078"/>
      <c r="AF256" s="2153">
        <v>11</v>
      </c>
    </row>
    <row s="51564" customFormat="1" customHeight="1" ht="11.549999999999999">
      <c r="A257" s="1499"/>
      <c r="B257" s="2148"/>
      <c r="C257" s="2148"/>
      <c r="D257" s="863"/>
      <c r="K257" s="1672"/>
      <c r="L257" s="2148"/>
      <c r="M257" s="2148"/>
      <c r="N257" s="1672"/>
      <c r="O257" s="1672"/>
      <c r="P257" s="1672"/>
      <c r="Q257" s="1672"/>
      <c r="R257" s="2148"/>
      <c r="S257" s="1672"/>
      <c r="T257" s="1672"/>
      <c r="U257" s="1056"/>
      <c r="V257" s="1672"/>
      <c r="W257" s="1672"/>
      <c r="X257" s="1672"/>
      <c r="Y257" s="1672"/>
      <c r="Z257" s="1672"/>
      <c r="AA257" s="2144"/>
      <c r="AB257" s="1078"/>
      <c r="AC257" s="1078"/>
      <c r="AD257" s="1078"/>
      <c r="AE257" s="1078"/>
      <c r="AF257" s="2153">
        <v>11</v>
      </c>
    </row>
    <row s="51564" customFormat="1" customHeight="1" ht="11.549999999999999">
      <c r="A258" s="1499"/>
      <c r="B258" s="2148"/>
      <c r="C258" s="2148"/>
      <c r="D258" s="863"/>
      <c r="K258" s="1672"/>
      <c r="L258" s="2148"/>
      <c r="M258" s="2148"/>
      <c r="N258" s="1672"/>
      <c r="O258" s="1672"/>
      <c r="P258" s="1672"/>
      <c r="Q258" s="1672"/>
      <c r="R258" s="2148"/>
      <c r="S258" s="1672"/>
      <c r="T258" s="1672"/>
      <c r="U258" s="1056"/>
      <c r="V258" s="1672"/>
      <c r="W258" s="1672"/>
      <c r="X258" s="1672"/>
      <c r="Y258" s="1672"/>
      <c r="Z258" s="1672"/>
      <c r="AA258" s="2144"/>
      <c r="AB258" s="1078"/>
      <c r="AC258" s="1078"/>
      <c r="AD258" s="1078"/>
      <c r="AE258" s="1078"/>
      <c r="AF258" s="2153">
        <v>11</v>
      </c>
    </row>
    <row s="51564" customFormat="1" customHeight="1" ht="11.549999999999999">
      <c r="A259" s="1499"/>
      <c r="B259" s="2148"/>
      <c r="C259" s="2148"/>
      <c r="D259" s="863"/>
      <c r="K259" s="1672"/>
      <c r="L259" s="2148"/>
      <c r="M259" s="2148"/>
      <c r="N259" s="1672"/>
      <c r="O259" s="1672"/>
      <c r="P259" s="1672"/>
      <c r="Q259" s="1672"/>
      <c r="R259" s="2148"/>
      <c r="S259" s="1672"/>
      <c r="T259" s="1672"/>
      <c r="U259" s="1056"/>
      <c r="V259" s="1672"/>
      <c r="W259" s="1672"/>
      <c r="X259" s="1672"/>
      <c r="Y259" s="1672"/>
      <c r="Z259" s="1672"/>
      <c r="AA259" s="2144"/>
      <c r="AB259" s="1078"/>
      <c r="AC259" s="1078"/>
      <c r="AD259" s="1078"/>
      <c r="AE259" s="1078"/>
      <c r="AF259" s="2153">
        <v>11</v>
      </c>
    </row>
    <row s="51564" customFormat="1" customHeight="1" ht="11.549999999999999">
      <c r="A260" s="1499"/>
      <c r="B260" s="2148"/>
      <c r="C260" s="2148"/>
      <c r="D260" s="863"/>
      <c r="K260" s="1672"/>
      <c r="L260" s="2148"/>
      <c r="M260" s="2148"/>
      <c r="N260" s="1672"/>
      <c r="O260" s="1672"/>
      <c r="P260" s="1672"/>
      <c r="Q260" s="1672"/>
      <c r="R260" s="2148"/>
      <c r="S260" s="1672"/>
      <c r="T260" s="1672"/>
      <c r="U260" s="1056"/>
      <c r="V260" s="1672"/>
      <c r="W260" s="1672"/>
      <c r="X260" s="1672"/>
      <c r="Y260" s="1672"/>
      <c r="Z260" s="1672"/>
      <c r="AA260" s="2144"/>
      <c r="AB260" s="1078"/>
      <c r="AC260" s="1078"/>
      <c r="AD260" s="1078"/>
      <c r="AE260" s="1078"/>
      <c r="AF260" s="2153">
        <v>11</v>
      </c>
    </row>
    <row s="51564" customFormat="1" customHeight="1" ht="11.549999999999999">
      <c r="A261" s="1499"/>
      <c r="B261" s="2148"/>
      <c r="C261" s="2148"/>
      <c r="D261" s="863"/>
      <c r="K261" s="1672"/>
      <c r="L261" s="2148"/>
      <c r="M261" s="2148"/>
      <c r="N261" s="1672"/>
      <c r="O261" s="1672"/>
      <c r="P261" s="1672"/>
      <c r="Q261" s="1672"/>
      <c r="R261" s="2148"/>
      <c r="S261" s="1672"/>
      <c r="T261" s="1672"/>
      <c r="U261" s="1056"/>
      <c r="V261" s="1672"/>
      <c r="W261" s="1672"/>
      <c r="X261" s="1672"/>
      <c r="Y261" s="1672"/>
      <c r="Z261" s="1672"/>
      <c r="AA261" s="2144"/>
      <c r="AB261" s="1078"/>
      <c r="AC261" s="1078"/>
      <c r="AD261" s="1078"/>
      <c r="AE261" s="1078"/>
      <c r="AF261" s="2153">
        <v>11</v>
      </c>
    </row>
    <row s="51564" customFormat="1" customHeight="1" ht="11.549999999999999">
      <c r="A262" s="1499"/>
      <c r="B262" s="2148"/>
      <c r="C262" s="2148"/>
      <c r="D262" s="863"/>
      <c r="K262" s="1672"/>
      <c r="L262" s="2148"/>
      <c r="M262" s="2148"/>
      <c r="N262" s="1672"/>
      <c r="O262" s="1672"/>
      <c r="P262" s="1672"/>
      <c r="Q262" s="1672"/>
      <c r="R262" s="2148"/>
      <c r="S262" s="1672"/>
      <c r="T262" s="1672"/>
      <c r="U262" s="1056"/>
      <c r="V262" s="1672"/>
      <c r="W262" s="1672"/>
      <c r="X262" s="1672"/>
      <c r="Y262" s="1672"/>
      <c r="Z262" s="1672"/>
      <c r="AA262" s="2144"/>
      <c r="AB262" s="1078"/>
      <c r="AC262" s="1078"/>
      <c r="AD262" s="1078"/>
      <c r="AE262" s="1078"/>
      <c r="AF262" s="2153">
        <v>11</v>
      </c>
    </row>
    <row s="51564" customFormat="1" customHeight="1" ht="11.549999999999999">
      <c r="A263" s="1499"/>
      <c r="B263" s="2148"/>
      <c r="C263" s="2148"/>
      <c r="D263" s="863"/>
      <c r="K263" s="1672"/>
      <c r="L263" s="2148"/>
      <c r="M263" s="2148"/>
      <c r="N263" s="1672"/>
      <c r="O263" s="1672"/>
      <c r="P263" s="1672"/>
      <c r="Q263" s="1672"/>
      <c r="R263" s="2148"/>
      <c r="S263" s="1672"/>
      <c r="T263" s="1672"/>
      <c r="U263" s="1056"/>
      <c r="V263" s="1672"/>
      <c r="W263" s="1672"/>
      <c r="X263" s="1672"/>
      <c r="Y263" s="1672"/>
      <c r="Z263" s="1672"/>
      <c r="AA263" s="2144"/>
      <c r="AB263" s="1078"/>
      <c r="AC263" s="1078"/>
      <c r="AD263" s="1078"/>
      <c r="AE263" s="1078"/>
      <c r="AF263" s="2153">
        <v>11</v>
      </c>
    </row>
    <row s="51564" customFormat="1" customHeight="1" ht="11.549999999999999">
      <c r="A264" s="1499"/>
      <c r="B264" s="2148"/>
      <c r="C264" s="2148"/>
      <c r="D264" s="863"/>
      <c r="K264" s="1672"/>
      <c r="L264" s="2148"/>
      <c r="M264" s="2148"/>
      <c r="N264" s="1672"/>
      <c r="O264" s="1672"/>
      <c r="P264" s="1672"/>
      <c r="Q264" s="1672"/>
      <c r="R264" s="2148"/>
      <c r="S264" s="1672"/>
      <c r="T264" s="1672"/>
      <c r="U264" s="1056"/>
      <c r="V264" s="1672"/>
      <c r="W264" s="1672"/>
      <c r="X264" s="1672"/>
      <c r="Y264" s="1672"/>
      <c r="Z264" s="1672"/>
      <c r="AA264" s="2144"/>
      <c r="AB264" s="1078"/>
      <c r="AC264" s="1078"/>
      <c r="AD264" s="1078"/>
      <c r="AE264" s="1078"/>
      <c r="AF264" s="2153">
        <v>11</v>
      </c>
    </row>
    <row s="51564" customFormat="1" customHeight="1" ht="11.549999999999999">
      <c r="A265" s="1499"/>
      <c r="B265" s="2148"/>
      <c r="C265" s="2148"/>
      <c r="D265" s="863"/>
      <c r="K265" s="1672"/>
      <c r="L265" s="2148"/>
      <c r="M265" s="2148"/>
      <c r="N265" s="1672"/>
      <c r="O265" s="1672"/>
      <c r="P265" s="1672"/>
      <c r="Q265" s="1672"/>
      <c r="R265" s="2148"/>
      <c r="S265" s="1672"/>
      <c r="T265" s="1672"/>
      <c r="U265" s="1056"/>
      <c r="V265" s="1672"/>
      <c r="W265" s="1672"/>
      <c r="X265" s="1672"/>
      <c r="Y265" s="1672"/>
      <c r="Z265" s="1672"/>
      <c r="AA265" s="2144"/>
      <c r="AB265" s="1078"/>
      <c r="AC265" s="1078"/>
      <c r="AD265" s="1078"/>
      <c r="AE265" s="1078"/>
      <c r="AF265" s="2153">
        <v>11</v>
      </c>
    </row>
    <row s="51564" customFormat="1" customHeight="1" ht="11.549999999999999">
      <c r="A266" s="1499"/>
      <c r="B266" s="2148"/>
      <c r="C266" s="2148"/>
      <c r="D266" s="863"/>
      <c r="K266" s="1672"/>
      <c r="L266" s="2148"/>
      <c r="M266" s="2148"/>
      <c r="N266" s="1672"/>
      <c r="O266" s="1672"/>
      <c r="P266" s="1672"/>
      <c r="Q266" s="1672"/>
      <c r="R266" s="2148"/>
      <c r="S266" s="1672"/>
      <c r="T266" s="1672"/>
      <c r="U266" s="1056"/>
      <c r="V266" s="1672"/>
      <c r="W266" s="1672"/>
      <c r="X266" s="1672"/>
      <c r="Y266" s="1672"/>
      <c r="Z266" s="1672"/>
      <c r="AA266" s="2144"/>
      <c r="AB266" s="1078"/>
      <c r="AC266" s="1078"/>
      <c r="AD266" s="1078"/>
      <c r="AE266" s="1078"/>
      <c r="AF266" s="2153">
        <v>11</v>
      </c>
    </row>
    <row s="51564" customFormat="1" customHeight="1" ht="11.549999999999999">
      <c r="A267" s="1499"/>
      <c r="B267" s="2148"/>
      <c r="C267" s="2148"/>
      <c r="D267" s="863"/>
      <c r="K267" s="1672"/>
      <c r="L267" s="2148"/>
      <c r="M267" s="2148"/>
      <c r="N267" s="1672"/>
      <c r="O267" s="1672"/>
      <c r="P267" s="1672"/>
      <c r="Q267" s="1672"/>
      <c r="R267" s="2148"/>
      <c r="S267" s="1672"/>
      <c r="T267" s="1672"/>
      <c r="U267" s="1056"/>
      <c r="V267" s="1672"/>
      <c r="W267" s="1672"/>
      <c r="X267" s="1672"/>
      <c r="Y267" s="1672"/>
      <c r="Z267" s="1672"/>
      <c r="AA267" s="2144"/>
      <c r="AB267" s="1078"/>
      <c r="AC267" s="1078"/>
      <c r="AD267" s="1078"/>
      <c r="AE267" s="1078"/>
      <c r="AF267" s="2153">
        <v>11</v>
      </c>
    </row>
    <row s="51564" customFormat="1" customHeight="1" ht="11.549999999999999">
      <c r="A268" s="1499"/>
      <c r="B268" s="2148"/>
      <c r="C268" s="2148"/>
      <c r="D268" s="863"/>
      <c r="K268" s="1672"/>
      <c r="L268" s="2148"/>
      <c r="M268" s="2148"/>
      <c r="N268" s="1672"/>
      <c r="O268" s="1672"/>
      <c r="P268" s="1672"/>
      <c r="Q268" s="1672"/>
      <c r="R268" s="2148"/>
      <c r="S268" s="1672"/>
      <c r="T268" s="1672"/>
      <c r="U268" s="1056"/>
      <c r="V268" s="1672"/>
      <c r="W268" s="1672"/>
      <c r="X268" s="1672"/>
      <c r="Y268" s="1672"/>
      <c r="Z268" s="1672"/>
      <c r="AA268" s="2144"/>
      <c r="AB268" s="1078"/>
      <c r="AC268" s="1078"/>
      <c r="AD268" s="1078"/>
      <c r="AE268" s="1078"/>
      <c r="AF268" s="2153">
        <v>11</v>
      </c>
    </row>
    <row s="51564" customFormat="1" customHeight="1" ht="11.549999999999999">
      <c r="A269" s="1499"/>
      <c r="B269" s="2148"/>
      <c r="C269" s="2148"/>
      <c r="D269" s="863"/>
      <c r="K269" s="1672"/>
      <c r="L269" s="2148"/>
      <c r="M269" s="2148"/>
      <c r="N269" s="1672"/>
      <c r="O269" s="1672"/>
      <c r="P269" s="1672"/>
      <c r="Q269" s="1672"/>
      <c r="R269" s="2148"/>
      <c r="S269" s="1672"/>
      <c r="T269" s="1672"/>
      <c r="U269" s="1056"/>
      <c r="V269" s="1672"/>
      <c r="W269" s="1672"/>
      <c r="X269" s="1672"/>
      <c r="Y269" s="1672"/>
      <c r="Z269" s="1672"/>
      <c r="AA269" s="2144"/>
      <c r="AB269" s="1078"/>
      <c r="AC269" s="1078"/>
      <c r="AD269" s="1078"/>
      <c r="AE269" s="1078"/>
      <c r="AF269" s="2153">
        <v>11</v>
      </c>
    </row>
    <row s="51564" customFormat="1" customHeight="1" ht="11.549999999999999">
      <c r="A270" s="1499"/>
      <c r="B270" s="2148"/>
      <c r="C270" s="2148"/>
      <c r="D270" s="863"/>
      <c r="K270" s="1672"/>
      <c r="L270" s="2148"/>
      <c r="M270" s="2148"/>
      <c r="N270" s="1672"/>
      <c r="O270" s="1672"/>
      <c r="P270" s="1672"/>
      <c r="Q270" s="1672"/>
      <c r="R270" s="2148"/>
      <c r="S270" s="1672"/>
      <c r="T270" s="1672"/>
      <c r="U270" s="1056"/>
      <c r="V270" s="1672"/>
      <c r="W270" s="1672"/>
      <c r="X270" s="1672"/>
      <c r="Y270" s="1672"/>
      <c r="Z270" s="1672"/>
      <c r="AA270" s="2144"/>
      <c r="AB270" s="1078"/>
      <c r="AC270" s="1078"/>
      <c r="AD270" s="1078"/>
      <c r="AE270" s="1078"/>
      <c r="AF270" s="2153">
        <v>11</v>
      </c>
    </row>
    <row s="51564" customFormat="1" customHeight="1" ht="11.549999999999999">
      <c r="A271" s="1499"/>
      <c r="B271" s="2148"/>
      <c r="C271" s="2148"/>
      <c r="D271" s="863"/>
      <c r="K271" s="1672"/>
      <c r="L271" s="2148"/>
      <c r="M271" s="2148"/>
      <c r="N271" s="1672"/>
      <c r="O271" s="1672"/>
      <c r="P271" s="1672"/>
      <c r="Q271" s="1672"/>
      <c r="R271" s="2148"/>
      <c r="S271" s="1672"/>
      <c r="T271" s="1672"/>
      <c r="U271" s="1056"/>
      <c r="V271" s="1672"/>
      <c r="W271" s="1672"/>
      <c r="X271" s="1672"/>
      <c r="Y271" s="1672"/>
      <c r="Z271" s="1672"/>
      <c r="AA271" s="2144"/>
      <c r="AB271" s="1078"/>
      <c r="AC271" s="1078"/>
      <c r="AD271" s="1078"/>
      <c r="AE271" s="1078"/>
      <c r="AF271" s="2153">
        <v>11</v>
      </c>
    </row>
    <row s="51564" customFormat="1" customHeight="1" ht="11.549999999999999">
      <c r="A272" s="1499"/>
      <c r="B272" s="2148"/>
      <c r="C272" s="2148"/>
      <c r="D272" s="863"/>
      <c r="K272" s="1672"/>
      <c r="L272" s="2148"/>
      <c r="M272" s="2148"/>
      <c r="N272" s="1672"/>
      <c r="O272" s="1672"/>
      <c r="P272" s="1672"/>
      <c r="Q272" s="1672"/>
      <c r="R272" s="2148"/>
      <c r="S272" s="1672"/>
      <c r="T272" s="1672"/>
      <c r="U272" s="1056"/>
      <c r="V272" s="1672"/>
      <c r="W272" s="1672"/>
      <c r="X272" s="1672"/>
      <c r="Y272" s="1672"/>
      <c r="Z272" s="1672"/>
      <c r="AA272" s="2144"/>
      <c r="AB272" s="1078"/>
      <c r="AC272" s="1078"/>
      <c r="AD272" s="1078"/>
      <c r="AE272" s="1078"/>
      <c r="AF272" s="2153">
        <v>11</v>
      </c>
    </row>
    <row s="51564" customFormat="1" customHeight="1" ht="11.549999999999999">
      <c r="A273" s="1499"/>
      <c r="B273" s="2148"/>
      <c r="C273" s="2148"/>
      <c r="D273" s="863"/>
      <c r="K273" s="1672"/>
      <c r="L273" s="2148"/>
      <c r="M273" s="2148"/>
      <c r="N273" s="1672"/>
      <c r="O273" s="1672"/>
      <c r="P273" s="1672"/>
      <c r="Q273" s="1672"/>
      <c r="R273" s="2148"/>
      <c r="S273" s="1672"/>
      <c r="T273" s="1672"/>
      <c r="U273" s="1056"/>
      <c r="V273" s="1672"/>
      <c r="W273" s="1672"/>
      <c r="X273" s="1672"/>
      <c r="Y273" s="1672"/>
      <c r="Z273" s="1672"/>
      <c r="AA273" s="2144"/>
      <c r="AB273" s="1078"/>
      <c r="AC273" s="1078"/>
      <c r="AD273" s="1078"/>
      <c r="AE273" s="1078"/>
      <c r="AF273" s="2153">
        <v>11</v>
      </c>
    </row>
    <row s="51564" customFormat="1" customHeight="1" ht="11.549999999999999">
      <c r="A274" s="1499"/>
      <c r="B274" s="2148"/>
      <c r="C274" s="2148"/>
      <c r="D274" s="863"/>
      <c r="K274" s="1672"/>
      <c r="L274" s="2148"/>
      <c r="M274" s="2148"/>
      <c r="N274" s="1672"/>
      <c r="O274" s="1672"/>
      <c r="P274" s="1672"/>
      <c r="Q274" s="1672"/>
      <c r="R274" s="2148"/>
      <c r="S274" s="1672"/>
      <c r="T274" s="1672"/>
      <c r="U274" s="1056"/>
      <c r="V274" s="1672"/>
      <c r="W274" s="1672"/>
      <c r="X274" s="1672"/>
      <c r="Y274" s="1672"/>
      <c r="Z274" s="1672"/>
      <c r="AA274" s="2144"/>
      <c r="AB274" s="1078"/>
      <c r="AC274" s="1078"/>
      <c r="AD274" s="1078"/>
      <c r="AE274" s="1078"/>
      <c r="AF274" s="2153">
        <v>11</v>
      </c>
    </row>
    <row s="51564" customFormat="1" customHeight="1" ht="11.549999999999999">
      <c r="A275" s="1499"/>
      <c r="B275" s="2148"/>
      <c r="C275" s="2148"/>
      <c r="D275" s="863"/>
      <c r="K275" s="1672"/>
      <c r="L275" s="2148"/>
      <c r="M275" s="2148"/>
      <c r="N275" s="1672"/>
      <c r="O275" s="1672"/>
      <c r="P275" s="1672"/>
      <c r="Q275" s="1672"/>
      <c r="R275" s="2148"/>
      <c r="S275" s="1672"/>
      <c r="T275" s="1672"/>
      <c r="U275" s="1056"/>
      <c r="V275" s="1672"/>
      <c r="W275" s="1672"/>
      <c r="X275" s="1672"/>
      <c r="Y275" s="1672"/>
      <c r="Z275" s="1672"/>
      <c r="AA275" s="2144"/>
      <c r="AB275" s="1078"/>
      <c r="AC275" s="1078"/>
      <c r="AD275" s="1078"/>
      <c r="AE275" s="1078"/>
      <c r="AF275" s="2153">
        <v>11</v>
      </c>
    </row>
    <row s="51564" customFormat="1" customHeight="1" ht="11.549999999999999">
      <c r="A276" s="1499"/>
      <c r="B276" s="2148"/>
      <c r="C276" s="2148"/>
      <c r="D276" s="863"/>
      <c r="K276" s="1672"/>
      <c r="L276" s="2148"/>
      <c r="M276" s="2148"/>
      <c r="N276" s="1672"/>
      <c r="O276" s="1672"/>
      <c r="P276" s="1672"/>
      <c r="Q276" s="1672"/>
      <c r="R276" s="2148"/>
      <c r="S276" s="1672"/>
      <c r="T276" s="1672"/>
      <c r="U276" s="1056"/>
      <c r="V276" s="1672"/>
      <c r="W276" s="1672"/>
      <c r="X276" s="1672"/>
      <c r="Y276" s="1672"/>
      <c r="Z276" s="1672"/>
      <c r="AA276" s="2144"/>
      <c r="AB276" s="1078"/>
      <c r="AC276" s="1078"/>
      <c r="AD276" s="1078"/>
      <c r="AE276" s="1078"/>
      <c r="AF276" s="2153">
        <v>11</v>
      </c>
    </row>
    <row s="51564" customFormat="1" customHeight="1" ht="11.549999999999999">
      <c r="A277" s="1499"/>
      <c r="B277" s="2148"/>
      <c r="C277" s="2148"/>
      <c r="D277" s="863"/>
      <c r="K277" s="1672"/>
      <c r="L277" s="2148"/>
      <c r="M277" s="2148"/>
      <c r="N277" s="1672"/>
      <c r="O277" s="1672"/>
      <c r="P277" s="1672"/>
      <c r="Q277" s="1672"/>
      <c r="R277" s="2148"/>
      <c r="S277" s="1672"/>
      <c r="T277" s="1672"/>
      <c r="U277" s="1056"/>
      <c r="V277" s="1672"/>
      <c r="W277" s="1672"/>
      <c r="X277" s="1672"/>
      <c r="Y277" s="1672"/>
      <c r="Z277" s="1672"/>
      <c r="AA277" s="2144"/>
      <c r="AB277" s="1078"/>
      <c r="AC277" s="1078"/>
      <c r="AD277" s="1078"/>
      <c r="AE277" s="1078"/>
      <c r="AF277" s="2153">
        <v>11</v>
      </c>
    </row>
    <row s="51564" customFormat="1" customHeight="1" ht="11.549999999999999">
      <c r="A278" s="1499"/>
      <c r="B278" s="2148"/>
      <c r="C278" s="2148"/>
      <c r="D278" s="863"/>
      <c r="K278" s="1672"/>
      <c r="L278" s="2148"/>
      <c r="M278" s="2148"/>
      <c r="N278" s="1672"/>
      <c r="O278" s="1672"/>
      <c r="P278" s="1672"/>
      <c r="Q278" s="1672"/>
      <c r="R278" s="2148"/>
      <c r="S278" s="1672"/>
      <c r="T278" s="1672"/>
      <c r="U278" s="1056"/>
      <c r="V278" s="1672"/>
      <c r="W278" s="1672"/>
      <c r="X278" s="1672"/>
      <c r="Y278" s="1672"/>
      <c r="Z278" s="1672"/>
      <c r="AA278" s="2144"/>
      <c r="AB278" s="1078"/>
      <c r="AC278" s="1078"/>
      <c r="AD278" s="1078"/>
      <c r="AE278" s="1078"/>
      <c r="AF278" s="2153">
        <v>11</v>
      </c>
    </row>
    <row s="51564" customFormat="1" customHeight="1" ht="11.549999999999999">
      <c r="A279" s="1499"/>
      <c r="B279" s="2148"/>
      <c r="C279" s="2148"/>
      <c r="D279" s="863"/>
      <c r="K279" s="1672"/>
      <c r="L279" s="2148"/>
      <c r="M279" s="2148"/>
      <c r="N279" s="1672"/>
      <c r="O279" s="1672"/>
      <c r="P279" s="1672"/>
      <c r="Q279" s="1672"/>
      <c r="R279" s="2148"/>
      <c r="S279" s="1672"/>
      <c r="T279" s="1672"/>
      <c r="U279" s="1056"/>
      <c r="V279" s="1672"/>
      <c r="W279" s="1672"/>
      <c r="X279" s="1672"/>
      <c r="Y279" s="1672"/>
      <c r="Z279" s="1672"/>
      <c r="AA279" s="2144"/>
      <c r="AB279" s="1078"/>
      <c r="AC279" s="1078"/>
      <c r="AD279" s="1078"/>
      <c r="AE279" s="1078"/>
      <c r="AF279" s="2153">
        <v>11</v>
      </c>
    </row>
    <row s="51564" customFormat="1" customHeight="1" ht="11.549999999999999">
      <c r="A280" s="1499"/>
      <c r="B280" s="2148"/>
      <c r="C280" s="2148"/>
      <c r="D280" s="863"/>
      <c r="K280" s="1672"/>
      <c r="L280" s="2148"/>
      <c r="M280" s="2148"/>
      <c r="N280" s="1672"/>
      <c r="O280" s="1672"/>
      <c r="P280" s="1672"/>
      <c r="Q280" s="1672"/>
      <c r="R280" s="2148"/>
      <c r="S280" s="1672"/>
      <c r="T280" s="1672"/>
      <c r="U280" s="1056"/>
      <c r="V280" s="1672"/>
      <c r="W280" s="1672"/>
      <c r="X280" s="1672"/>
      <c r="Y280" s="1672"/>
      <c r="Z280" s="1672"/>
      <c r="AA280" s="2144"/>
      <c r="AB280" s="1078"/>
      <c r="AC280" s="1078"/>
      <c r="AD280" s="1078"/>
      <c r="AE280" s="1078"/>
      <c r="AF280" s="2153">
        <v>11</v>
      </c>
    </row>
    <row s="51564" customFormat="1" customHeight="1" ht="11.549999999999999">
      <c r="A281" s="1499"/>
      <c r="B281" s="2148"/>
      <c r="C281" s="2148"/>
      <c r="D281" s="863"/>
      <c r="K281" s="1672"/>
      <c r="L281" s="2148"/>
      <c r="M281" s="2148"/>
      <c r="N281" s="1672"/>
      <c r="O281" s="1672"/>
      <c r="P281" s="1672"/>
      <c r="Q281" s="1672"/>
      <c r="R281" s="2148"/>
      <c r="S281" s="1672"/>
      <c r="T281" s="1672"/>
      <c r="U281" s="1056"/>
      <c r="V281" s="1672"/>
      <c r="W281" s="1672"/>
      <c r="X281" s="1672"/>
      <c r="Y281" s="1672"/>
      <c r="Z281" s="1672"/>
      <c r="AA281" s="2144"/>
      <c r="AB281" s="1078"/>
      <c r="AC281" s="1078"/>
      <c r="AD281" s="1078"/>
      <c r="AE281" s="1078"/>
      <c r="AF281" s="2153">
        <v>11</v>
      </c>
    </row>
    <row s="51564" customFormat="1" customHeight="1" ht="11.549999999999999">
      <c r="A282" s="1499"/>
      <c r="B282" s="2148"/>
      <c r="C282" s="2148"/>
      <c r="D282" s="863"/>
      <c r="K282" s="1672"/>
      <c r="L282" s="2148"/>
      <c r="M282" s="2148"/>
      <c r="N282" s="1672"/>
      <c r="O282" s="1672"/>
      <c r="P282" s="1672"/>
      <c r="Q282" s="1672"/>
      <c r="R282" s="2148"/>
      <c r="S282" s="1672"/>
      <c r="T282" s="1672"/>
      <c r="U282" s="1056"/>
      <c r="V282" s="1672"/>
      <c r="W282" s="1672"/>
      <c r="X282" s="1672"/>
      <c r="Y282" s="1672"/>
      <c r="Z282" s="1672"/>
      <c r="AA282" s="2144"/>
      <c r="AB282" s="1078"/>
      <c r="AC282" s="1078"/>
      <c r="AD282" s="1078"/>
      <c r="AE282" s="1078"/>
      <c r="AF282" s="2153">
        <v>11</v>
      </c>
    </row>
    <row s="51564" customFormat="1" customHeight="1" ht="11.549999999999999">
      <c r="A283" s="1499"/>
      <c r="B283" s="2148"/>
      <c r="C283" s="2148"/>
      <c r="D283" s="863"/>
      <c r="K283" s="1672"/>
      <c r="L283" s="2148"/>
      <c r="M283" s="2148"/>
      <c r="N283" s="1672"/>
      <c r="O283" s="1672"/>
      <c r="P283" s="1672"/>
      <c r="Q283" s="1672"/>
      <c r="R283" s="2148"/>
      <c r="S283" s="1672"/>
      <c r="T283" s="1672"/>
      <c r="U283" s="1056"/>
      <c r="V283" s="1672"/>
      <c r="W283" s="1672"/>
      <c r="X283" s="1672"/>
      <c r="Y283" s="1672"/>
      <c r="Z283" s="1672"/>
      <c r="AA283" s="2144"/>
      <c r="AB283" s="1078"/>
      <c r="AC283" s="1078"/>
      <c r="AD283" s="1078"/>
      <c r="AE283" s="1078"/>
      <c r="AF283" s="2153">
        <v>11</v>
      </c>
    </row>
    <row s="51564" customFormat="1" customHeight="1" ht="11.549999999999999">
      <c r="A284" s="1499"/>
      <c r="B284" s="2148"/>
      <c r="C284" s="2148"/>
      <c r="D284" s="863"/>
      <c r="K284" s="1672"/>
      <c r="L284" s="2148"/>
      <c r="M284" s="2148"/>
      <c r="N284" s="1672"/>
      <c r="O284" s="1672"/>
      <c r="P284" s="1672"/>
      <c r="Q284" s="1672"/>
      <c r="R284" s="2148"/>
      <c r="S284" s="1672"/>
      <c r="T284" s="1672"/>
      <c r="U284" s="1056"/>
      <c r="V284" s="1672"/>
      <c r="W284" s="1672"/>
      <c r="X284" s="1672"/>
      <c r="Y284" s="1672"/>
      <c r="Z284" s="1672"/>
      <c r="AA284" s="2144"/>
      <c r="AB284" s="1078"/>
      <c r="AC284" s="1078"/>
      <c r="AD284" s="1078"/>
      <c r="AE284" s="1078"/>
      <c r="AF284" s="2153">
        <v>11</v>
      </c>
    </row>
    <row s="51564" customFormat="1" customHeight="1" ht="11.549999999999999">
      <c r="A285" s="1499"/>
      <c r="B285" s="2148"/>
      <c r="C285" s="2148"/>
      <c r="D285" s="863"/>
      <c r="K285" s="1672"/>
      <c r="L285" s="2148"/>
      <c r="M285" s="2148"/>
      <c r="N285" s="1672"/>
      <c r="O285" s="1672"/>
      <c r="P285" s="1672"/>
      <c r="Q285" s="1672"/>
      <c r="R285" s="2148"/>
      <c r="S285" s="1672"/>
      <c r="T285" s="1672"/>
      <c r="U285" s="1056"/>
      <c r="V285" s="1672"/>
      <c r="W285" s="1672"/>
      <c r="X285" s="1672"/>
      <c r="Y285" s="1672"/>
      <c r="Z285" s="1672"/>
      <c r="AA285" s="2144"/>
      <c r="AB285" s="1078"/>
      <c r="AC285" s="1078"/>
      <c r="AD285" s="1078"/>
      <c r="AE285" s="1078"/>
      <c r="AF285" s="2153">
        <v>11</v>
      </c>
    </row>
    <row s="51564" customFormat="1" customHeight="1" ht="11.549999999999999">
      <c r="A286" s="1499"/>
      <c r="B286" s="2148"/>
      <c r="C286" s="2148"/>
      <c r="D286" s="863"/>
      <c r="K286" s="1672"/>
      <c r="L286" s="2148"/>
      <c r="M286" s="2148"/>
      <c r="N286" s="1672"/>
      <c r="O286" s="1672"/>
      <c r="P286" s="1672"/>
      <c r="Q286" s="1672"/>
      <c r="R286" s="2148"/>
      <c r="S286" s="1672"/>
      <c r="T286" s="1672"/>
      <c r="U286" s="1056"/>
      <c r="V286" s="1672"/>
      <c r="W286" s="1672"/>
      <c r="X286" s="1672"/>
      <c r="Y286" s="1672"/>
      <c r="Z286" s="1672"/>
      <c r="AA286" s="2144"/>
      <c r="AB286" s="1078"/>
      <c r="AC286" s="1078"/>
      <c r="AD286" s="1078"/>
      <c r="AE286" s="1078"/>
      <c r="AF286" s="2153">
        <v>11</v>
      </c>
    </row>
    <row s="51564" customFormat="1" customHeight="1" ht="11.549999999999999">
      <c r="A287" s="1499"/>
      <c r="B287" s="2148"/>
      <c r="C287" s="2148"/>
      <c r="D287" s="863"/>
      <c r="K287" s="1672"/>
      <c r="L287" s="2148"/>
      <c r="M287" s="2148"/>
      <c r="N287" s="1672"/>
      <c r="O287" s="1672"/>
      <c r="P287" s="1672"/>
      <c r="Q287" s="1672"/>
      <c r="R287" s="2148"/>
      <c r="S287" s="1672"/>
      <c r="T287" s="1672"/>
      <c r="U287" s="1056"/>
      <c r="V287" s="1672"/>
      <c r="W287" s="1672"/>
      <c r="X287" s="1672"/>
      <c r="Y287" s="1672"/>
      <c r="Z287" s="1672"/>
      <c r="AA287" s="2144"/>
      <c r="AB287" s="1078"/>
      <c r="AC287" s="1078"/>
      <c r="AD287" s="1078"/>
      <c r="AE287" s="1078"/>
      <c r="AF287" s="2153">
        <v>11</v>
      </c>
    </row>
    <row s="51564" customFormat="1" customHeight="1" ht="11.549999999999999">
      <c r="A288" s="1499"/>
      <c r="B288" s="2148"/>
      <c r="C288" s="2148"/>
      <c r="D288" s="863"/>
      <c r="K288" s="1672"/>
      <c r="L288" s="2148"/>
      <c r="M288" s="2148"/>
      <c r="N288" s="1672"/>
      <c r="O288" s="1672"/>
      <c r="P288" s="1672"/>
      <c r="Q288" s="1672"/>
      <c r="R288" s="2148"/>
      <c r="S288" s="1672"/>
      <c r="T288" s="1672"/>
      <c r="U288" s="1056"/>
      <c r="V288" s="1672"/>
      <c r="W288" s="1672"/>
      <c r="X288" s="1672"/>
      <c r="Y288" s="1672"/>
      <c r="Z288" s="1672"/>
      <c r="AA288" s="2144"/>
      <c r="AB288" s="1078"/>
      <c r="AC288" s="1078"/>
      <c r="AD288" s="1078"/>
      <c r="AE288" s="1078"/>
      <c r="AF288" s="2153">
        <v>11</v>
      </c>
    </row>
    <row customHeight="1" ht="11.549999999999999">
      <c r="AF289" s="2143">
        <v>11</v>
      </c>
    </row>
    <row customHeight="1" ht="11.549999999999999">
      <c r="AF290" s="2143">
        <v>11</v>
      </c>
    </row>
    <row customHeight="1" ht="11.549999999999999">
      <c r="AF291" s="2143">
        <v>11</v>
      </c>
    </row>
    <row customHeight="1" ht="11.549999999999999">
      <c r="A292" s="1502"/>
      <c r="B292" s="2143"/>
      <c r="D292" s="2143"/>
      <c r="K292" s="2143"/>
      <c r="N292" s="2143"/>
      <c r="O292" s="2143"/>
      <c r="P292" s="2143"/>
      <c r="Q292" s="2143"/>
      <c r="S292" s="2143"/>
      <c r="T292" s="2143"/>
      <c r="U292" s="2143"/>
      <c r="V292" s="2143"/>
      <c r="W292" s="2143"/>
      <c r="X292" s="2143"/>
      <c r="Y292" s="2143"/>
      <c r="Z292" s="2143"/>
      <c r="AA292" s="2143"/>
      <c r="AB292" s="2143"/>
      <c r="AC292" s="2143"/>
      <c r="AD292" s="2143"/>
      <c r="AE292" s="2143"/>
      <c r="AF292" s="2143">
        <v>11</v>
      </c>
    </row>
    <row customHeight="1" ht="11.549999999999999">
      <c r="A293" s="1502"/>
      <c r="B293" s="2143"/>
      <c r="D293" s="2143"/>
      <c r="K293" s="2143"/>
      <c r="N293" s="2143"/>
      <c r="O293" s="2143"/>
      <c r="P293" s="2143"/>
      <c r="Q293" s="2143"/>
      <c r="S293" s="2143"/>
      <c r="T293" s="2143"/>
      <c r="U293" s="2143"/>
      <c r="V293" s="2143"/>
      <c r="W293" s="2143"/>
      <c r="X293" s="2143"/>
      <c r="Y293" s="2143"/>
      <c r="Z293" s="2143"/>
      <c r="AA293" s="2143"/>
      <c r="AB293" s="2143"/>
      <c r="AC293" s="2143"/>
      <c r="AD293" s="2143"/>
      <c r="AE293" s="2143"/>
      <c r="AF293" s="2143">
        <v>11</v>
      </c>
    </row>
    <row customHeight="1" ht="11.549999999999999">
      <c r="A294" s="1502"/>
      <c r="B294" s="2143"/>
      <c r="D294" s="2143"/>
      <c r="K294" s="2143"/>
      <c r="N294" s="2143"/>
      <c r="O294" s="2143"/>
      <c r="P294" s="2143"/>
      <c r="Q294" s="2143"/>
      <c r="S294" s="2143"/>
      <c r="T294" s="2143"/>
      <c r="U294" s="2143"/>
      <c r="V294" s="2143"/>
      <c r="W294" s="2143"/>
      <c r="X294" s="2143"/>
      <c r="Y294" s="2143"/>
      <c r="Z294" s="2143"/>
      <c r="AA294" s="2143"/>
      <c r="AB294" s="2143"/>
      <c r="AC294" s="2143"/>
      <c r="AD294" s="2143"/>
      <c r="AE294" s="2143"/>
      <c r="AF294" s="2143">
        <v>11</v>
      </c>
    </row>
    <row customHeight="1" ht="11.549999999999999">
      <c r="A295" s="1502"/>
      <c r="B295" s="2143"/>
      <c r="D295" s="2143"/>
      <c r="K295" s="2143"/>
      <c r="N295" s="2143"/>
      <c r="O295" s="2143"/>
      <c r="P295" s="2143"/>
      <c r="Q295" s="2143"/>
      <c r="S295" s="2143"/>
      <c r="T295" s="2143"/>
      <c r="U295" s="2143"/>
      <c r="V295" s="2143"/>
      <c r="W295" s="2143"/>
      <c r="X295" s="2143"/>
      <c r="Y295" s="2143"/>
      <c r="Z295" s="2143"/>
      <c r="AA295" s="2143"/>
      <c r="AB295" s="2143"/>
      <c r="AC295" s="2143"/>
      <c r="AD295" s="2143"/>
      <c r="AE295" s="2143"/>
      <c r="AF295" s="2143">
        <v>11</v>
      </c>
    </row>
    <row customHeight="1" ht="11.549999999999999">
      <c r="A296" s="1502"/>
      <c r="B296" s="2143"/>
      <c r="D296" s="2143"/>
      <c r="K296" s="2143"/>
      <c r="N296" s="2143"/>
      <c r="O296" s="2143"/>
      <c r="P296" s="2143"/>
      <c r="Q296" s="2143"/>
      <c r="S296" s="2143"/>
      <c r="T296" s="2143"/>
      <c r="U296" s="2143"/>
      <c r="V296" s="2143"/>
      <c r="W296" s="2143"/>
      <c r="X296" s="2143"/>
      <c r="Y296" s="2143"/>
      <c r="Z296" s="2143"/>
      <c r="AA296" s="2143"/>
      <c r="AB296" s="2143"/>
      <c r="AC296" s="2143"/>
      <c r="AD296" s="2143"/>
      <c r="AE296" s="2143"/>
      <c r="AF296" s="2143">
        <v>11</v>
      </c>
    </row>
    <row customHeight="1" ht="11.549999999999999">
      <c r="A297" s="1502"/>
      <c r="B297" s="2143"/>
      <c r="D297" s="2143"/>
      <c r="K297" s="2143"/>
      <c r="N297" s="2143"/>
      <c r="O297" s="2143"/>
      <c r="P297" s="2143"/>
      <c r="Q297" s="2143"/>
      <c r="S297" s="2143"/>
      <c r="T297" s="2143"/>
      <c r="U297" s="2143"/>
      <c r="V297" s="2143"/>
      <c r="W297" s="2143"/>
      <c r="X297" s="2143"/>
      <c r="Y297" s="2143"/>
      <c r="Z297" s="2143"/>
      <c r="AA297" s="2143"/>
      <c r="AB297" s="2143"/>
      <c r="AC297" s="2143"/>
      <c r="AD297" s="2143"/>
      <c r="AE297" s="2143"/>
      <c r="AF297" s="2143">
        <v>11</v>
      </c>
    </row>
    <row customHeight="1" ht="11.549999999999999">
      <c r="A298" s="1502"/>
      <c r="B298" s="2143"/>
      <c r="D298" s="2143"/>
      <c r="K298" s="2143"/>
      <c r="N298" s="2143"/>
      <c r="O298" s="2143"/>
      <c r="P298" s="2143"/>
      <c r="Q298" s="2143"/>
      <c r="S298" s="2143"/>
      <c r="T298" s="2143"/>
      <c r="U298" s="2143"/>
      <c r="V298" s="2143"/>
      <c r="W298" s="2143"/>
      <c r="X298" s="2143"/>
      <c r="Y298" s="2143"/>
      <c r="Z298" s="2143"/>
      <c r="AA298" s="2143"/>
      <c r="AB298" s="2143"/>
      <c r="AC298" s="2143"/>
      <c r="AD298" s="2143"/>
      <c r="AE298" s="2143"/>
      <c r="AF298" s="2143">
        <v>11</v>
      </c>
    </row>
    <row customHeight="1" ht="11.549999999999999">
      <c r="A299" s="1502"/>
      <c r="B299" s="2143"/>
      <c r="D299" s="2143"/>
      <c r="K299" s="2143"/>
      <c r="N299" s="2143"/>
      <c r="O299" s="2143"/>
      <c r="P299" s="2143"/>
      <c r="Q299" s="2143"/>
      <c r="S299" s="2143"/>
      <c r="T299" s="2143"/>
      <c r="U299" s="2143"/>
      <c r="V299" s="2143"/>
      <c r="W299" s="2143"/>
      <c r="X299" s="2143"/>
      <c r="Y299" s="2143"/>
      <c r="Z299" s="2143"/>
      <c r="AA299" s="2143"/>
      <c r="AB299" s="2143"/>
      <c r="AC299" s="2143"/>
      <c r="AD299" s="2143"/>
      <c r="AE299" s="2143"/>
      <c r="AF299" s="2143">
        <v>11</v>
      </c>
    </row>
    <row customHeight="1" ht="11.549999999999999">
      <c r="A300" s="1502"/>
      <c r="B300" s="2143"/>
      <c r="D300" s="2143"/>
      <c r="K300" s="2143"/>
      <c r="N300" s="2143"/>
      <c r="O300" s="2143"/>
      <c r="P300" s="2143"/>
      <c r="Q300" s="2143"/>
      <c r="S300" s="2143"/>
      <c r="T300" s="2143"/>
      <c r="U300" s="2143"/>
      <c r="V300" s="2143"/>
      <c r="W300" s="2143"/>
      <c r="X300" s="2143"/>
      <c r="Y300" s="2143"/>
      <c r="Z300" s="2143"/>
      <c r="AA300" s="2143"/>
      <c r="AB300" s="2143"/>
      <c r="AC300" s="2143"/>
      <c r="AD300" s="2143"/>
      <c r="AE300" s="2143"/>
      <c r="AF300" s="2143">
        <v>11</v>
      </c>
    </row>
    <row customHeight="1" ht="11.549999999999999">
      <c r="A301" s="1502"/>
      <c r="B301" s="2143"/>
      <c r="D301" s="2143"/>
      <c r="K301" s="2143"/>
      <c r="N301" s="2143"/>
      <c r="O301" s="2143"/>
      <c r="P301" s="2143"/>
      <c r="Q301" s="2143"/>
      <c r="S301" s="2143"/>
      <c r="T301" s="2143"/>
      <c r="U301" s="2143"/>
      <c r="V301" s="2143"/>
      <c r="W301" s="2143"/>
      <c r="X301" s="2143"/>
      <c r="Y301" s="2143"/>
      <c r="Z301" s="2143"/>
      <c r="AA301" s="2143"/>
      <c r="AB301" s="2143"/>
      <c r="AC301" s="2143"/>
      <c r="AD301" s="2143"/>
      <c r="AE301" s="2143"/>
      <c r="AF301" s="2143">
        <v>11</v>
      </c>
    </row>
    <row customHeight="1" ht="11.549999999999999">
      <c r="A302" s="1502"/>
      <c r="B302" s="2143"/>
      <c r="D302" s="2143"/>
      <c r="K302" s="2143"/>
      <c r="N302" s="2143"/>
      <c r="O302" s="2143"/>
      <c r="P302" s="2143"/>
      <c r="Q302" s="2143"/>
      <c r="S302" s="2143"/>
      <c r="T302" s="2143"/>
      <c r="U302" s="2143"/>
      <c r="V302" s="2143"/>
      <c r="W302" s="2143"/>
      <c r="X302" s="2143"/>
      <c r="Y302" s="2143"/>
      <c r="Z302" s="2143"/>
      <c r="AA302" s="2143"/>
      <c r="AB302" s="2143"/>
      <c r="AC302" s="2143"/>
      <c r="AD302" s="2143"/>
      <c r="AE302" s="2143"/>
      <c r="AF302" s="2143">
        <v>11</v>
      </c>
    </row>
    <row customHeight="1" ht="11.25" hidden="1">
      <c r="A303" s="1499" t="s">
        <v>84</v>
      </c>
      <c r="B303" s="1672">
        <v>0</v>
      </c>
      <c r="C303" s="2148">
        <v>0</v>
      </c>
      <c r="D303" s="2147">
        <v>3</v>
      </c>
      <c r="E303" s="2143">
        <v>7</v>
      </c>
      <c r="F303" s="2143">
        <v>54</v>
      </c>
      <c r="G303" s="2143">
        <v>10</v>
      </c>
      <c r="H303" s="2143">
        <v>0</v>
      </c>
      <c r="I303" s="2143">
        <v>40</v>
      </c>
      <c r="J303" s="2143">
        <v>102</v>
      </c>
      <c r="K303" s="1672">
        <v>9</v>
      </c>
      <c r="L303" s="2148">
        <v>5</v>
      </c>
      <c r="M303" s="2148">
        <v>3</v>
      </c>
      <c r="N303" s="1672">
        <v>3</v>
      </c>
      <c r="O303" s="1672">
        <v>3</v>
      </c>
      <c r="P303" s="1672">
        <v>3</v>
      </c>
      <c r="Q303" s="1672">
        <v>3</v>
      </c>
      <c r="R303" s="2148">
        <v>10</v>
      </c>
      <c r="S303" s="1672">
        <v>34</v>
      </c>
      <c r="T303" s="1672">
        <v>9</v>
      </c>
      <c r="U303" s="1056">
        <v>8</v>
      </c>
      <c r="V303" s="1672">
        <v>8</v>
      </c>
      <c r="W303" s="1672">
        <v>8</v>
      </c>
      <c r="X303" s="1672">
        <v>8</v>
      </c>
      <c r="Y303" s="1672">
        <v>8</v>
      </c>
      <c r="Z303" s="1672">
        <v>8</v>
      </c>
      <c r="AA303" s="2144">
        <v>8</v>
      </c>
      <c r="AB303" s="2144">
        <v>8</v>
      </c>
      <c r="AC303" s="2144">
        <v>8</v>
      </c>
      <c r="AD303" s="2144">
        <v>8</v>
      </c>
      <c r="AE303" s="2144">
        <v>8</v>
      </c>
      <c r="AF303" s="2143">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9B269-3F46-8754-F371-28A8CCF686AC}"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60412" width="14.7109375" hidden="1" customWidth="1"/>
    <col min="2" max="2" style="50765" width="17.00390625" hidden="1" customWidth="1"/>
    <col min="3" max="3" style="50801" width="3.00390625" customWidth="1"/>
    <col min="4" max="4" style="50801" width="1.8515625" hidden="1" customWidth="1"/>
    <col min="5" max="6" style="50801" width="7.00390625" customWidth="1"/>
    <col min="7" max="7" style="50801" width="29.00390625" customWidth="1"/>
    <col min="8" max="8" style="50801" width="3.7109375" customWidth="1"/>
    <col min="9" max="9" style="50801" width="5.00390625" customWidth="1"/>
    <col min="10" max="11" style="50801" width="24.00390625" customWidth="1"/>
    <col min="12" max="12" style="50801" width="3.00390625" customWidth="1"/>
    <col min="13" max="13" style="50801" width="6.00390625" customWidth="1"/>
    <col min="14" max="14" style="50801" width="25.00390625" customWidth="1"/>
    <col min="15" max="18" style="50801" width="18.00390625" customWidth="1"/>
    <col min="19" max="19" style="50801" width="93.00390625" customWidth="1"/>
    <col min="20" max="20" style="50801" width="10.00390625" customWidth="1"/>
    <col min="21" max="21" style="50882" width="10.00390625" customWidth="1"/>
    <col min="22" max="22" style="50882" width="11.00390625" customWidth="1"/>
    <col min="23" max="27" style="50765" width="10.00390625" customWidth="1"/>
    <col min="28" max="83" style="50801" width="8.00390625" customWidth="1"/>
    <col min="84" max="84" style="50801" width="9.140625" hidden="1"/>
  </cols>
  <sheetData>
    <row customHeight="1" ht="22.5" hidden="1">
      <c r="CF1" s="1017" t="s">
        <v>14</v>
      </c>
    </row>
    <row customHeight="1" ht="11.25" hidden="1">
      <c r="CF2" s="1017">
        <v>0</v>
      </c>
    </row>
    <row customHeight="1" ht="11.25" hidden="1">
      <c r="CF3" s="1017">
        <v>0</v>
      </c>
    </row>
    <row customHeight="1" ht="3">
      <c r="C4" s="1021"/>
      <c r="D4" s="1021"/>
      <c r="E4" s="1021"/>
      <c r="F4" s="1021"/>
      <c r="G4" s="1021"/>
      <c r="H4" s="1021"/>
      <c r="I4" s="1021"/>
      <c r="J4" s="1021"/>
      <c r="K4" s="678"/>
      <c r="L4" s="678"/>
      <c r="M4" s="678"/>
      <c r="CF4" s="1017">
        <v>3</v>
      </c>
    </row>
    <row customHeight="1" ht="29.25">
      <c r="C5" s="1021"/>
      <c r="D5" s="1569"/>
      <c r="E5" s="274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49"/>
      <c r="G5" s="2749"/>
      <c r="H5" s="2749"/>
      <c r="I5" s="2749"/>
      <c r="J5" s="2749"/>
      <c r="K5" s="2749"/>
      <c r="L5" s="1125"/>
      <c r="M5" s="1125"/>
      <c r="CF5" s="1017">
        <v>28</v>
      </c>
    </row>
    <row s="50801" customFormat="1" customHeight="1" ht="16.8">
      <c r="A6" s="1122"/>
      <c r="B6" s="1271"/>
      <c r="C6" s="1021"/>
      <c r="D6" s="1570"/>
      <c r="E6" s="2688" t="str">
        <f>IF(org=0,"Не определено",org)</f>
        <v>КГУП "Примтеплоэнерго"</v>
      </c>
      <c r="F6" s="2688"/>
      <c r="G6" s="2688"/>
      <c r="H6" s="2688"/>
      <c r="I6" s="2688"/>
      <c r="J6" s="2688"/>
      <c r="K6" s="2688"/>
      <c r="L6" s="1125"/>
      <c r="M6" s="1125"/>
      <c r="U6" s="1123"/>
      <c r="V6" s="1123"/>
      <c r="W6" s="1124"/>
      <c r="X6" s="1271"/>
      <c r="Y6" s="1271"/>
      <c r="Z6" s="1271"/>
      <c r="AA6" s="1271"/>
      <c r="CF6" s="1270">
        <v>16</v>
      </c>
    </row>
    <row customHeight="1" ht="11.549999999999999">
      <c r="C7" s="1021"/>
      <c r="D7" s="1021"/>
      <c r="E7" s="1021"/>
      <c r="F7" s="1021"/>
      <c r="G7" s="1034"/>
      <c r="H7" s="1034"/>
      <c r="I7" s="1034"/>
      <c r="J7" s="1034"/>
      <c r="K7" s="1126"/>
      <c r="L7" s="1126"/>
      <c r="M7" s="1126"/>
      <c r="R7" s="1264"/>
      <c r="CF7" s="1017">
        <v>11</v>
      </c>
    </row>
    <row s="51564" customFormat="1" customHeight="1" ht="4.2">
      <c r="A8" s="1133"/>
      <c r="B8" s="1078"/>
      <c r="C8" s="863"/>
      <c r="D8" s="863"/>
      <c r="E8" s="863"/>
      <c r="F8" s="863"/>
      <c r="G8" s="1487"/>
      <c r="H8" s="1487"/>
      <c r="I8" s="1487"/>
      <c r="J8" s="1487"/>
      <c r="K8" s="1530"/>
      <c r="L8" s="1530"/>
      <c r="M8" s="1530"/>
      <c r="R8" s="1531"/>
      <c r="U8" s="1123"/>
      <c r="V8" s="1123"/>
      <c r="W8" s="1134"/>
      <c r="X8" s="1078"/>
      <c r="Y8" s="1078"/>
      <c r="Z8" s="1078"/>
      <c r="AA8" s="1078"/>
      <c r="CF8" s="1008">
        <v>4</v>
      </c>
    </row>
    <row customHeight="1" ht="19.95">
      <c r="D9" s="801"/>
      <c r="E9" s="2613" t="s">
        <v>439</v>
      </c>
      <c r="F9" s="2614"/>
      <c r="G9" s="2614"/>
      <c r="H9" s="2614"/>
      <c r="I9" s="2614"/>
      <c r="J9" s="2614"/>
      <c r="K9" s="2614"/>
      <c r="L9" s="2614"/>
      <c r="M9" s="2614"/>
      <c r="N9" s="2614"/>
      <c r="O9" s="2614"/>
      <c r="P9" s="2614"/>
      <c r="Q9" s="2614"/>
      <c r="R9" s="2615"/>
      <c r="S9" s="2639" t="s">
        <v>440</v>
      </c>
      <c r="T9" s="846"/>
      <c r="CF9" s="1017">
        <v>19</v>
      </c>
    </row>
    <row customHeight="1" ht="48.29999999999999">
      <c r="D10" s="1063" t="s">
        <v>90</v>
      </c>
      <c r="E10" s="2639" t="s">
        <v>90</v>
      </c>
      <c r="F10" s="2639"/>
      <c r="G10" s="1033" t="s">
        <v>441</v>
      </c>
      <c r="H10" s="2639" t="s">
        <v>90</v>
      </c>
      <c r="I10" s="2639"/>
      <c r="J10" s="1033" t="s">
        <v>740</v>
      </c>
      <c r="K10" s="1033" t="s">
        <v>741</v>
      </c>
      <c r="L10" s="2639" t="s">
        <v>90</v>
      </c>
      <c r="M10" s="2639"/>
      <c r="N10" s="1033" t="s">
        <v>742</v>
      </c>
      <c r="O10" s="1033" t="s">
        <v>743</v>
      </c>
      <c r="P10" s="1033" t="s">
        <v>744</v>
      </c>
      <c r="Q10" s="1033" t="s">
        <v>745</v>
      </c>
      <c r="R10" s="1033" t="s">
        <v>746</v>
      </c>
      <c r="S10" s="2639"/>
      <c r="T10" s="846"/>
      <c r="CF10" s="1017">
        <v>46</v>
      </c>
    </row>
    <row s="50882" customFormat="1" customHeight="1" ht="15" hidden="1">
      <c r="A11" s="1564"/>
      <c r="D11" s="1537" t="s">
        <v>101</v>
      </c>
      <c r="E11" s="1537"/>
      <c r="F11" s="1537" t="s">
        <v>105</v>
      </c>
      <c r="G11" s="1537" t="s">
        <v>92</v>
      </c>
      <c r="H11" s="1537"/>
      <c r="I11" s="1537" t="s">
        <v>93</v>
      </c>
      <c r="J11" s="1537" t="s">
        <v>121</v>
      </c>
      <c r="K11" s="1537" t="s">
        <v>94</v>
      </c>
      <c r="L11" s="1537"/>
      <c r="M11" s="1537" t="s">
        <v>95</v>
      </c>
      <c r="N11" s="1537" t="s">
        <v>135</v>
      </c>
      <c r="O11" s="1537" t="s">
        <v>140</v>
      </c>
      <c r="P11" s="1537" t="s">
        <v>145</v>
      </c>
      <c r="Q11" s="1537" t="s">
        <v>151</v>
      </c>
      <c r="R11" s="1537" t="s">
        <v>156</v>
      </c>
      <c r="S11" s="1537" t="s">
        <v>160</v>
      </c>
      <c r="U11" s="1123"/>
      <c r="V11" s="1123"/>
      <c r="W11" s="1123"/>
      <c r="CF11" s="1023">
        <v>0</v>
      </c>
    </row>
    <row s="50801" customFormat="1" customHeight="1" ht="1.05">
      <c r="A12" s="1127"/>
      <c r="B12" s="874"/>
      <c r="D12" s="1060"/>
      <c r="E12" s="858"/>
      <c r="F12" s="858"/>
      <c r="Q12" s="1128"/>
      <c r="R12" s="1129"/>
      <c r="T12" s="1130"/>
      <c r="U12" s="1131"/>
      <c r="V12" s="1131"/>
      <c r="W12" s="1132"/>
      <c r="X12" s="874"/>
      <c r="Y12" s="874"/>
      <c r="Z12" s="874"/>
      <c r="AA12" s="874"/>
      <c r="CF12" s="1021">
        <v>1</v>
      </c>
    </row>
    <row s="51564" customFormat="1" customHeight="1" ht="1.05">
      <c r="A13" s="1133"/>
      <c r="B13" s="1078"/>
      <c r="D13" s="1060" t="s">
        <v>515</v>
      </c>
      <c r="E13" s="1072"/>
      <c r="F13" s="1072"/>
      <c r="G13" s="1072"/>
      <c r="H13" s="1072"/>
      <c r="I13" s="1072"/>
      <c r="J13" s="1072"/>
      <c r="K13" s="1072"/>
      <c r="L13" s="1072"/>
      <c r="M13" s="1072"/>
      <c r="N13" s="1072"/>
      <c r="O13" s="1072"/>
      <c r="P13" s="1072"/>
      <c r="Q13" s="1072"/>
      <c r="R13" s="1072"/>
      <c r="T13" s="846"/>
      <c r="U13" s="1123"/>
      <c r="V13" s="1123"/>
      <c r="W13" s="1134"/>
      <c r="X13" s="1078"/>
      <c r="Y13" s="1078"/>
      <c r="Z13" s="1078"/>
      <c r="AA13" s="1078"/>
      <c r="CF13" s="1008">
        <v>1</v>
      </c>
    </row>
    <row s="50942" customFormat="1" customHeight="1" ht="15" hidden="1">
      <c r="A14" s="1135" t="s">
        <v>183</v>
      </c>
      <c r="B14" s="1136"/>
      <c r="C14" s="1136"/>
      <c r="D14" s="2892" t="s">
        <v>101</v>
      </c>
      <c r="E14" s="2889" t="s">
        <v>175</v>
      </c>
      <c r="F14" s="2890"/>
      <c r="G14" s="2891"/>
      <c r="H14" s="2895">
        <f>IF(A14="","",INDEX(DIFFERENTIATION_UNMERGE_VD,MATCH(A14,DIFFERENTIATION_ID_DIFF,0)))</f>
        <v>0</v>
      </c>
      <c r="I14" s="2895"/>
      <c r="J14" s="2895"/>
      <c r="K14" s="2895"/>
      <c r="L14" s="2895"/>
      <c r="M14" s="2895"/>
      <c r="N14" s="2895"/>
      <c r="O14" s="2895"/>
      <c r="P14" s="2895"/>
      <c r="Q14" s="2895"/>
      <c r="R14" s="2895"/>
      <c r="S14" s="1231"/>
      <c r="T14" s="1228"/>
      <c r="U14" s="1137"/>
      <c r="V14" s="1137"/>
      <c r="W14" s="1138"/>
      <c r="X14" s="1138"/>
      <c r="Y14" s="1138"/>
      <c r="Z14" s="1138"/>
      <c r="AA14" s="1139"/>
      <c r="AB14" s="1140"/>
      <c r="AC14" s="2887"/>
      <c r="AD14" s="1141"/>
      <c r="AE14" s="1142" t="s">
        <v>28</v>
      </c>
      <c r="AF14" s="1142"/>
      <c r="AG14" s="1143" t="s">
        <v>747</v>
      </c>
      <c r="AH14" s="1144">
        <v>3</v>
      </c>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8"/>
      <c r="BW14" s="1138"/>
      <c r="BX14" s="1138"/>
      <c r="BY14" s="1138"/>
      <c r="BZ14" s="1138"/>
      <c r="CA14" s="1138"/>
      <c r="CB14" s="1138"/>
      <c r="CC14" s="1138"/>
      <c r="CD14" s="1138"/>
      <c r="CE14" s="1138"/>
      <c r="CF14" s="805">
        <v>0</v>
      </c>
    </row>
    <row s="50942" customFormat="1" customHeight="1" ht="15" hidden="1">
      <c r="A15" s="1135"/>
      <c r="B15" s="1136"/>
      <c r="C15" s="1136"/>
      <c r="D15" s="2893"/>
      <c r="E15" s="2889" t="s">
        <v>702</v>
      </c>
      <c r="F15" s="2890"/>
      <c r="G15" s="2891"/>
      <c r="H15" s="2895" t="str">
        <f>IF(A14="","",INDEX(DIFFERENTIATION_UNMERGE_AREA,MATCH(A14,DIFFERENTIATION_ID_DIFF,0)))</f>
        <v/>
      </c>
      <c r="I15" s="2895"/>
      <c r="J15" s="2895"/>
      <c r="K15" s="2895"/>
      <c r="L15" s="2895"/>
      <c r="M15" s="2895"/>
      <c r="N15" s="2895"/>
      <c r="O15" s="2895"/>
      <c r="P15" s="2895"/>
      <c r="Q15" s="2895"/>
      <c r="R15" s="2895"/>
      <c r="S15" s="1231"/>
      <c r="T15" s="1228"/>
      <c r="U15" s="1137"/>
      <c r="V15" s="1137"/>
      <c r="W15" s="1138"/>
      <c r="X15" s="1138"/>
      <c r="Y15" s="1138"/>
      <c r="Z15" s="1138"/>
      <c r="AA15" s="1139"/>
      <c r="AB15" s="1140"/>
      <c r="AC15" s="2887"/>
      <c r="AD15" s="1141"/>
      <c r="AE15" s="1142"/>
      <c r="AF15" s="1142"/>
      <c r="AG15" s="1143"/>
      <c r="AH15" s="1144"/>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8"/>
      <c r="BW15" s="1138"/>
      <c r="BX15" s="1138"/>
      <c r="BY15" s="1138"/>
      <c r="BZ15" s="1138"/>
      <c r="CA15" s="1138"/>
      <c r="CB15" s="1138"/>
      <c r="CC15" s="1138"/>
      <c r="CD15" s="1138"/>
      <c r="CE15" s="1138"/>
      <c r="CF15" s="805">
        <v>0</v>
      </c>
    </row>
    <row s="50942" customFormat="1" customHeight="1" ht="15" hidden="1">
      <c r="A16" s="1135"/>
      <c r="B16" s="1136"/>
      <c r="C16" s="1136"/>
      <c r="D16" s="2893"/>
      <c r="E16" s="2889" t="s">
        <v>703</v>
      </c>
      <c r="F16" s="2890"/>
      <c r="G16" s="2891"/>
      <c r="H16" s="2895" t="str">
        <f>IF(A14="","",INDEX(DIFFERENTIATION_UNMERGE_SYSTEM,MATCH(A14,DIFFERENTIATION_ID_DIFF,0)))</f>
        <v>без дифференциации</v>
      </c>
      <c r="I16" s="2895"/>
      <c r="J16" s="2895"/>
      <c r="K16" s="2895"/>
      <c r="L16" s="2895"/>
      <c r="M16" s="2895"/>
      <c r="N16" s="2895"/>
      <c r="O16" s="2895"/>
      <c r="P16" s="2895"/>
      <c r="Q16" s="2895"/>
      <c r="R16" s="2895"/>
      <c r="S16" s="1231"/>
      <c r="T16" s="1228"/>
      <c r="U16" s="1137"/>
      <c r="V16" s="1137"/>
      <c r="W16" s="1138"/>
      <c r="X16" s="1138"/>
      <c r="Y16" s="1138"/>
      <c r="Z16" s="1138"/>
      <c r="AA16" s="1139"/>
      <c r="AB16" s="1140"/>
      <c r="AC16" s="2887"/>
      <c r="AD16" s="1141"/>
      <c r="AE16" s="1142"/>
      <c r="AF16" s="1142"/>
      <c r="AG16" s="1143"/>
      <c r="AH16" s="1144"/>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8"/>
      <c r="BW16" s="1138"/>
      <c r="BX16" s="1138"/>
      <c r="BY16" s="1138"/>
      <c r="BZ16" s="1138"/>
      <c r="CA16" s="1138"/>
      <c r="CB16" s="1138"/>
      <c r="CC16" s="1138"/>
      <c r="CD16" s="1138"/>
      <c r="CE16" s="1138"/>
      <c r="CF16" s="805">
        <v>0</v>
      </c>
    </row>
    <row s="50942" customFormat="1" customHeight="1" ht="22.5" hidden="1">
      <c r="A17" s="1145"/>
      <c r="B17" s="929"/>
      <c r="C17" s="924"/>
      <c r="D17" s="2893"/>
      <c r="E17" s="2888" t="s">
        <v>748</v>
      </c>
      <c r="F17" s="2888"/>
      <c r="G17" s="2888"/>
      <c r="H17" s="2888"/>
      <c r="I17" s="2888"/>
      <c r="J17" s="2888"/>
      <c r="K17" s="2888"/>
      <c r="L17" s="2888"/>
      <c r="M17" s="2888"/>
      <c r="N17" s="2888"/>
      <c r="O17" s="2888"/>
      <c r="P17" s="2888"/>
      <c r="Q17" s="1070">
        <f>SUMIF(T18:T19,"i",Q18:Q19)</f>
        <v>0</v>
      </c>
      <c r="R17" s="1529"/>
      <c r="S17" s="1409" t="s">
        <v>749</v>
      </c>
      <c r="T17" s="1229" t="s">
        <v>750</v>
      </c>
      <c r="U17" s="2886">
        <v>1</v>
      </c>
      <c r="V17" s="2886" t="str">
        <f>INDEX(B_FHD_FLAG_INDEX_1,1,MATCH(A14,B_FHD_FLAG_DIFFERENTIATION,0))</f>
        <v>отсутствует</v>
      </c>
      <c r="W17" s="929"/>
      <c r="X17" s="929"/>
      <c r="Y17" s="929"/>
      <c r="Z17" s="929"/>
      <c r="AA17" s="1023"/>
      <c r="AB17" s="929"/>
      <c r="AC17" s="2887"/>
      <c r="AD17" s="1141"/>
      <c r="AE17" s="929"/>
      <c r="AF17" s="929"/>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929"/>
      <c r="BW17" s="929"/>
      <c r="BX17" s="929"/>
      <c r="BY17" s="929"/>
      <c r="BZ17" s="929"/>
      <c r="CA17" s="929"/>
      <c r="CB17" s="929"/>
      <c r="CC17" s="929"/>
      <c r="CD17" s="929"/>
      <c r="CE17" s="929"/>
      <c r="CF17" s="805">
        <v>0</v>
      </c>
    </row>
    <row s="50942" customFormat="1" customHeight="1" ht="11.25" hidden="1">
      <c r="A18" s="1146"/>
      <c r="B18" s="1023"/>
      <c r="C18" s="1023"/>
      <c r="D18" s="2893"/>
      <c r="E18" s="1147"/>
      <c r="F18" s="1147">
        <v>0</v>
      </c>
      <c r="G18" s="1147"/>
      <c r="H18" s="1147"/>
      <c r="I18" s="1147"/>
      <c r="J18" s="1147"/>
      <c r="K18" s="1147"/>
      <c r="L18" s="1147"/>
      <c r="M18" s="1147"/>
      <c r="N18" s="1147"/>
      <c r="O18" s="1147"/>
      <c r="P18" s="1147"/>
      <c r="Q18" s="1147"/>
      <c r="R18" s="1147"/>
      <c r="S18" s="1148"/>
      <c r="T18" s="1230"/>
      <c r="U18" s="2886"/>
      <c r="V18" s="2886"/>
      <c r="W18" s="1023"/>
      <c r="X18" s="1023"/>
      <c r="Y18" s="1023"/>
      <c r="Z18" s="1023"/>
      <c r="AA18" s="1023"/>
      <c r="AB18" s="929"/>
      <c r="AC18" s="2887"/>
      <c r="AD18" s="1141"/>
      <c r="AE18" s="929"/>
      <c r="AF18" s="929"/>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1023"/>
      <c r="BY18" s="1023"/>
      <c r="BZ18" s="1023"/>
      <c r="CA18" s="1023"/>
      <c r="CB18" s="1023"/>
      <c r="CC18" s="1023"/>
      <c r="CD18" s="1023"/>
      <c r="CE18" s="1023"/>
      <c r="CF18" s="805">
        <v>0</v>
      </c>
    </row>
    <row s="50942" customFormat="1" customHeight="1" ht="11.25" hidden="1">
      <c r="A19" s="1145"/>
      <c r="B19" s="929"/>
      <c r="C19" s="924"/>
      <c r="D19" s="2893"/>
      <c r="E19" s="1161" t="s">
        <v>28</v>
      </c>
      <c r="F19" s="1162" t="s">
        <v>28</v>
      </c>
      <c r="G19" s="1162" t="s">
        <v>28</v>
      </c>
      <c r="H19" s="1163" t="s">
        <v>28</v>
      </c>
      <c r="I19" s="1163"/>
      <c r="J19" s="1163"/>
      <c r="K19" s="1163"/>
      <c r="L19" s="1163"/>
      <c r="M19" s="1163"/>
      <c r="N19" s="1163"/>
      <c r="O19" s="1163"/>
      <c r="P19" s="1163"/>
      <c r="Q19" s="1163"/>
      <c r="R19" s="1164"/>
      <c r="S19" s="1532"/>
      <c r="T19" s="1230"/>
      <c r="U19" s="2886"/>
      <c r="V19" s="2886"/>
      <c r="W19" s="929"/>
      <c r="X19" s="929"/>
      <c r="Y19" s="929"/>
      <c r="Z19" s="929"/>
      <c r="AA19" s="1023"/>
      <c r="AB19" s="929"/>
      <c r="AC19" s="2887"/>
      <c r="AD19" s="1141"/>
      <c r="AE19" s="929"/>
      <c r="AF19" s="929"/>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c r="BG19" s="1023"/>
      <c r="BH19" s="1023"/>
      <c r="BI19" s="1023"/>
      <c r="BJ19" s="1023"/>
      <c r="BK19" s="1023"/>
      <c r="BL19" s="1023"/>
      <c r="BM19" s="1023"/>
      <c r="BN19" s="1023"/>
      <c r="BO19" s="1023"/>
      <c r="BP19" s="1023"/>
      <c r="BQ19" s="1023"/>
      <c r="BR19" s="1023"/>
      <c r="BS19" s="1023"/>
      <c r="BT19" s="1023"/>
      <c r="BU19" s="1023"/>
      <c r="BV19" s="929"/>
      <c r="BW19" s="929"/>
      <c r="BX19" s="929"/>
      <c r="BY19" s="929"/>
      <c r="BZ19" s="929"/>
      <c r="CA19" s="929"/>
      <c r="CB19" s="929"/>
      <c r="CC19" s="929"/>
      <c r="CD19" s="929"/>
      <c r="CE19" s="929"/>
      <c r="CF19" s="805">
        <v>0</v>
      </c>
    </row>
    <row s="50942" customFormat="1" customHeight="1" ht="22.5" hidden="1">
      <c r="A20" s="1145"/>
      <c r="B20" s="929"/>
      <c r="C20" s="924"/>
      <c r="D20" s="2893"/>
      <c r="E20" s="2888" t="s">
        <v>751</v>
      </c>
      <c r="F20" s="2888"/>
      <c r="G20" s="2888"/>
      <c r="H20" s="2888"/>
      <c r="I20" s="2888"/>
      <c r="J20" s="2888"/>
      <c r="K20" s="2888"/>
      <c r="L20" s="2888"/>
      <c r="M20" s="2888"/>
      <c r="N20" s="2888"/>
      <c r="O20" s="2888"/>
      <c r="P20" s="2888"/>
      <c r="Q20" s="1070">
        <f>SUMIF(T21:T22,"i",Q21:Q22)</f>
        <v>0</v>
      </c>
      <c r="R20" s="1529"/>
      <c r="S20" s="1221" t="s">
        <v>752</v>
      </c>
      <c r="T20" s="1229" t="s">
        <v>750</v>
      </c>
      <c r="U20" s="2886">
        <v>2</v>
      </c>
      <c r="V20" s="2886" t="str">
        <f>INDEX(B_FHD_FLAG_INDEX_2,1,MATCH(A14,B_FHD_FLAG_DIFFERENTIATION,0))</f>
        <v>отсутствует</v>
      </c>
      <c r="W20" s="929"/>
      <c r="X20" s="929"/>
      <c r="Y20" s="929"/>
      <c r="Z20" s="929"/>
      <c r="AA20" s="1023"/>
      <c r="AB20" s="929"/>
      <c r="AC20" s="1218"/>
      <c r="AD20" s="1141"/>
      <c r="AE20" s="929"/>
      <c r="AF20" s="929"/>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929"/>
      <c r="BW20" s="929"/>
      <c r="BX20" s="929"/>
      <c r="BY20" s="929"/>
      <c r="BZ20" s="929"/>
      <c r="CA20" s="929"/>
      <c r="CB20" s="929"/>
      <c r="CC20" s="929"/>
      <c r="CD20" s="929"/>
      <c r="CE20" s="929"/>
      <c r="CF20" s="805">
        <v>0</v>
      </c>
    </row>
    <row s="50942" customFormat="1" customHeight="1" ht="11.25" hidden="1">
      <c r="A21" s="1220"/>
      <c r="B21" s="1023"/>
      <c r="C21" s="1023"/>
      <c r="D21" s="2893"/>
      <c r="E21" s="1147"/>
      <c r="F21" s="1147">
        <v>0</v>
      </c>
      <c r="G21" s="1147"/>
      <c r="H21" s="1147"/>
      <c r="I21" s="1147"/>
      <c r="J21" s="1147"/>
      <c r="K21" s="1147"/>
      <c r="L21" s="1147"/>
      <c r="M21" s="1147"/>
      <c r="N21" s="1147"/>
      <c r="O21" s="1147"/>
      <c r="P21" s="1147"/>
      <c r="Q21" s="1147"/>
      <c r="R21" s="1147"/>
      <c r="S21" s="1148"/>
      <c r="T21" s="1230"/>
      <c r="U21" s="2886"/>
      <c r="V21" s="2886"/>
      <c r="W21" s="1023"/>
      <c r="X21" s="1023"/>
      <c r="Y21" s="1023"/>
      <c r="Z21" s="1023"/>
      <c r="AA21" s="1023"/>
      <c r="AB21" s="929"/>
      <c r="AC21" s="1218"/>
      <c r="AD21" s="1141"/>
      <c r="AE21" s="929"/>
      <c r="AF21" s="929"/>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c r="CF21" s="805">
        <v>0</v>
      </c>
    </row>
    <row s="50942" customFormat="1" customHeight="1" ht="11.25" hidden="1">
      <c r="A22" s="1145"/>
      <c r="B22" s="929"/>
      <c r="C22" s="924"/>
      <c r="D22" s="2894"/>
      <c r="E22" s="1161" t="s">
        <v>28</v>
      </c>
      <c r="F22" s="1162" t="s">
        <v>28</v>
      </c>
      <c r="G22" s="1162" t="s">
        <v>28</v>
      </c>
      <c r="H22" s="1163" t="s">
        <v>28</v>
      </c>
      <c r="I22" s="1163"/>
      <c r="J22" s="1163"/>
      <c r="K22" s="1163"/>
      <c r="L22" s="1163"/>
      <c r="M22" s="1163"/>
      <c r="N22" s="1163"/>
      <c r="O22" s="1163"/>
      <c r="P22" s="1163"/>
      <c r="Q22" s="1163"/>
      <c r="R22" s="1164"/>
      <c r="S22" s="1532"/>
      <c r="T22" s="1230"/>
      <c r="U22" s="2886"/>
      <c r="V22" s="2886"/>
      <c r="W22" s="929"/>
      <c r="X22" s="929"/>
      <c r="Y22" s="929"/>
      <c r="Z22" s="929"/>
      <c r="AA22" s="1023"/>
      <c r="AB22" s="929"/>
      <c r="AC22" s="1218"/>
      <c r="AD22" s="1141"/>
      <c r="AE22" s="929"/>
      <c r="AF22" s="929"/>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929"/>
      <c r="BW22" s="929"/>
      <c r="BX22" s="929"/>
      <c r="BY22" s="929"/>
      <c r="BZ22" s="929"/>
      <c r="CA22" s="929"/>
      <c r="CB22" s="929"/>
      <c r="CC22" s="929"/>
      <c r="CD22" s="929"/>
      <c r="CE22" s="929"/>
      <c r="CF22" s="805">
        <v>0</v>
      </c>
    </row>
    <row customHeight="1" ht="19.95">
      <c r="D23" s="1559"/>
      <c r="E23" s="1559"/>
      <c r="F23" s="1559"/>
      <c r="G23" s="1559"/>
      <c r="H23" s="1559"/>
      <c r="I23" s="1559"/>
      <c r="J23" s="1559"/>
      <c r="K23" s="1559"/>
      <c r="L23" s="1559"/>
      <c r="M23" s="1559"/>
      <c r="N23" s="1559"/>
      <c r="O23" s="1559"/>
      <c r="P23" s="1559"/>
      <c r="Q23" s="1559"/>
      <c r="R23" s="1559"/>
      <c r="S23" s="1559"/>
      <c r="T23" s="846"/>
      <c r="CF23" s="1017">
        <v>19</v>
      </c>
    </row>
    <row customHeight="1" ht="11.549999999999999">
      <c r="D24" s="1021"/>
      <c r="CF24" s="1017">
        <v>11</v>
      </c>
    </row>
    <row customHeight="1" ht="11.549999999999999">
      <c r="D25" s="1166"/>
      <c r="E25" s="1166"/>
      <c r="F25" s="1166"/>
      <c r="G25" s="1167"/>
      <c r="CF25" s="1017">
        <v>11</v>
      </c>
    </row>
    <row customHeight="1" ht="11.549999999999999">
      <c r="CF26" s="1017">
        <v>11</v>
      </c>
    </row>
    <row customHeight="1" ht="11.549999999999999">
      <c r="D27" s="1168"/>
      <c r="E27" s="2896"/>
      <c r="F27" s="2896"/>
      <c r="G27" s="2896"/>
      <c r="H27" s="2896"/>
      <c r="I27" s="2896"/>
      <c r="J27" s="2896"/>
      <c r="K27" s="2896"/>
      <c r="L27" s="2896"/>
      <c r="M27" s="2896"/>
      <c r="N27" s="2896"/>
      <c r="O27" s="2896"/>
      <c r="P27" s="2896"/>
      <c r="Q27" s="2896"/>
      <c r="R27" s="2896"/>
      <c r="CF27" s="1017">
        <v>11</v>
      </c>
    </row>
    <row customHeight="1" ht="11.549999999999999">
      <c r="F28" s="1270"/>
      <c r="G28" s="1270"/>
      <c r="CF28" s="1017">
        <v>11</v>
      </c>
    </row>
    <row customHeight="1" ht="11.25" hidden="1">
      <c r="A29" s="1122" t="s">
        <v>84</v>
      </c>
      <c r="B29" s="961">
        <v>0</v>
      </c>
      <c r="C29" s="1017">
        <v>3</v>
      </c>
      <c r="D29" s="1017">
        <v>0</v>
      </c>
      <c r="E29" s="1017">
        <v>7</v>
      </c>
      <c r="F29" s="1017">
        <v>7</v>
      </c>
      <c r="G29" s="1017">
        <v>29</v>
      </c>
      <c r="H29" s="1017">
        <v>3</v>
      </c>
      <c r="I29" s="1017">
        <v>5</v>
      </c>
      <c r="J29" s="1017">
        <v>24</v>
      </c>
      <c r="K29" s="1017">
        <v>24</v>
      </c>
      <c r="L29" s="1017">
        <v>3</v>
      </c>
      <c r="M29" s="1017">
        <v>6</v>
      </c>
      <c r="N29" s="1017">
        <v>25</v>
      </c>
      <c r="O29" s="1017">
        <v>18</v>
      </c>
      <c r="P29" s="1017">
        <v>18</v>
      </c>
      <c r="Q29" s="1017">
        <v>18</v>
      </c>
      <c r="R29" s="1017">
        <v>18</v>
      </c>
      <c r="S29" s="1017">
        <v>93</v>
      </c>
      <c r="T29" s="1017">
        <v>10</v>
      </c>
      <c r="U29" s="1123">
        <v>10</v>
      </c>
      <c r="V29" s="1123">
        <v>11</v>
      </c>
      <c r="W29" s="1124">
        <v>10</v>
      </c>
      <c r="X29" s="961">
        <v>10</v>
      </c>
      <c r="Y29" s="961">
        <v>10</v>
      </c>
      <c r="Z29" s="961">
        <v>10</v>
      </c>
      <c r="AA29" s="961">
        <v>10</v>
      </c>
      <c r="AB29" s="1017">
        <v>8</v>
      </c>
      <c r="AC29" s="1017">
        <v>8</v>
      </c>
      <c r="AD29" s="1017">
        <v>8</v>
      </c>
      <c r="AE29" s="1017">
        <v>8</v>
      </c>
      <c r="AF29" s="1017">
        <v>8</v>
      </c>
      <c r="AG29" s="1017">
        <v>8</v>
      </c>
      <c r="AH29" s="1017">
        <v>8</v>
      </c>
      <c r="AI29" s="1017">
        <v>8</v>
      </c>
      <c r="AJ29" s="1017">
        <v>8</v>
      </c>
      <c r="AK29" s="1017">
        <v>8</v>
      </c>
      <c r="AL29" s="1017">
        <v>8</v>
      </c>
      <c r="AM29" s="1017">
        <v>8</v>
      </c>
      <c r="AN29" s="1017">
        <v>8</v>
      </c>
      <c r="AO29" s="1017">
        <v>8</v>
      </c>
      <c r="AP29" s="1017">
        <v>8</v>
      </c>
      <c r="AQ29" s="1017">
        <v>8</v>
      </c>
      <c r="AR29" s="1017">
        <v>8</v>
      </c>
      <c r="AS29" s="1017">
        <v>8</v>
      </c>
      <c r="AT29" s="1017">
        <v>8</v>
      </c>
      <c r="AU29" s="1017">
        <v>8</v>
      </c>
      <c r="AV29" s="1017">
        <v>8</v>
      </c>
      <c r="AW29" s="1017">
        <v>8</v>
      </c>
      <c r="AX29" s="1017">
        <v>8</v>
      </c>
      <c r="AY29" s="1017">
        <v>8</v>
      </c>
      <c r="AZ29" s="1017">
        <v>8</v>
      </c>
      <c r="BA29" s="1017">
        <v>8</v>
      </c>
      <c r="BB29" s="1017">
        <v>8</v>
      </c>
      <c r="BC29" s="1017">
        <v>8</v>
      </c>
      <c r="BD29" s="1017">
        <v>8</v>
      </c>
      <c r="BE29" s="1017">
        <v>8</v>
      </c>
      <c r="BF29" s="1017">
        <v>8</v>
      </c>
      <c r="BG29" s="1017">
        <v>8</v>
      </c>
      <c r="BH29" s="1017">
        <v>8</v>
      </c>
      <c r="BI29" s="1017">
        <v>8</v>
      </c>
      <c r="BJ29" s="1017">
        <v>8</v>
      </c>
      <c r="BK29" s="1017">
        <v>8</v>
      </c>
      <c r="BL29" s="1017">
        <v>8</v>
      </c>
      <c r="BM29" s="1017">
        <v>8</v>
      </c>
      <c r="BN29" s="1017">
        <v>8</v>
      </c>
      <c r="BO29" s="1017">
        <v>8</v>
      </c>
      <c r="BP29" s="1017">
        <v>8</v>
      </c>
      <c r="BQ29" s="1017">
        <v>8</v>
      </c>
      <c r="BR29" s="1017">
        <v>8</v>
      </c>
      <c r="BS29" s="1017">
        <v>8</v>
      </c>
      <c r="BT29" s="1017">
        <v>8</v>
      </c>
      <c r="BU29" s="1017">
        <v>8</v>
      </c>
      <c r="BV29" s="1017">
        <v>8</v>
      </c>
      <c r="BW29" s="1017">
        <v>8</v>
      </c>
      <c r="BX29" s="1017">
        <v>8</v>
      </c>
      <c r="BY29" s="1017">
        <v>8</v>
      </c>
      <c r="BZ29" s="1017">
        <v>8</v>
      </c>
      <c r="CA29" s="1017">
        <v>8</v>
      </c>
      <c r="CB29" s="1017">
        <v>8</v>
      </c>
      <c r="CC29" s="1017">
        <v>8</v>
      </c>
      <c r="CD29" s="1017">
        <v>8</v>
      </c>
      <c r="CE29" s="1017">
        <v>8</v>
      </c>
      <c r="CF29" s="1017">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E54712-BDE7-F0C5-6E7E-019C5FFCD2D1}" mc:Ignorable="x14ac xr xr2 xr3">
  <sheetPr>
    <tabColor theme="9" tint="-0.25"/>
  </sheetPr>
  <dimension ref="A1:AK204"/>
  <sheetViews>
    <sheetView topLeftCell="A1" showGridLines="0" zoomScale="90" workbookViewId="0">
      <selection activeCell="A1" sqref="A1"/>
    </sheetView>
  </sheetViews>
  <sheetFormatPr defaultColWidth="9.140625" customHeight="1" defaultRowHeight="11.25"/>
  <cols>
    <col min="1" max="5" style="60344" width="10.7109375" hidden="1" customWidth="1"/>
    <col min="6" max="6" style="50881" width="16.8515625" hidden="1" customWidth="1"/>
    <col min="7" max="7" style="50882" width="5.57421875" hidden="1" customWidth="1"/>
    <col min="8" max="8" style="50801" width="3.00390625" customWidth="1"/>
    <col min="9" max="9" style="50801" width="7.00390625" customWidth="1"/>
    <col min="10" max="10" style="50801" width="56.00390625" customWidth="1"/>
    <col min="11" max="11" style="50801" width="10.00390625" customWidth="1"/>
    <col min="12" max="12" style="50801" width="40.57421875" hidden="1" customWidth="1"/>
    <col min="13" max="13" style="50801" width="40.7109375" customWidth="1"/>
    <col min="14" max="14" style="50881" width="9.7109375" hidden="1" customWidth="1"/>
    <col min="15" max="15" style="50801" width="102.00390625" customWidth="1"/>
    <col min="16" max="16" style="50881" width="9.00390625" customWidth="1"/>
    <col min="17" max="17" style="50882" width="5.00390625" customWidth="1"/>
    <col min="18" max="18" style="50882" width="3.00390625" customWidth="1"/>
    <col min="19" max="22" style="50881" width="3.00390625" customWidth="1"/>
    <col min="23" max="23" style="50882" width="10.00390625" customWidth="1"/>
    <col min="24" max="24" style="50881" width="34.00390625" customWidth="1"/>
    <col min="25" max="25" style="50881" width="9.00390625" customWidth="1"/>
    <col min="26" max="26" style="60345" width="8.00390625" customWidth="1"/>
    <col min="27" max="31" style="50881" width="8.00390625" customWidth="1"/>
    <col min="32" max="36" style="50765" width="8.00390625" customWidth="1"/>
    <col min="37" max="37" style="50801" width="5.421875" hidden="1" customWidth="1"/>
  </cols>
  <sheetData>
    <row s="50881" customFormat="1" customHeight="1" ht="33.75" hidden="1">
      <c r="A1" s="1499"/>
      <c r="B1" s="1499"/>
      <c r="C1" s="1499"/>
      <c r="D1" s="1499"/>
      <c r="E1" s="1499"/>
      <c r="G1" s="2148"/>
      <c r="H1" s="1390"/>
      <c r="L1" s="1878">
        <v>4</v>
      </c>
      <c r="M1" s="1878">
        <v>4</v>
      </c>
      <c r="Q1" s="2148"/>
      <c r="R1" s="2148"/>
      <c r="W1" s="2148"/>
      <c r="AK1" s="1878" t="s">
        <v>14</v>
      </c>
    </row>
    <row s="50881" customFormat="1" customHeight="1" ht="78.75" hidden="1">
      <c r="A2" s="1499"/>
      <c r="B2" s="2565" t="s">
        <v>753</v>
      </c>
      <c r="C2" s="2565" t="s">
        <v>754</v>
      </c>
      <c r="D2" s="2564" t="s">
        <v>755</v>
      </c>
      <c r="E2" s="2568">
        <f>RIGHT(I2,LEN(I2)-SEARCH("#",SUBSTITUTE(I2,".","#",LEN(I2)-LEN(SUBSTITUTE(I2,".","")))))</f>
      </c>
      <c r="F2" s="2570">
        <f>J2</f>
        <v>0</v>
      </c>
      <c r="G2" s="2148"/>
      <c r="H2" s="2571"/>
      <c r="I2" s="2561"/>
      <c r="J2" s="1052"/>
      <c r="K2" s="2531" t="s">
        <v>694</v>
      </c>
      <c r="L2" s="1263"/>
      <c r="M2" s="1263"/>
      <c r="N2" s="1055"/>
      <c r="O2" s="2037" t="s">
        <v>695</v>
      </c>
      <c r="P2" s="1055"/>
      <c r="Q2" s="2148"/>
      <c r="R2" s="2148"/>
      <c r="W2" s="2148"/>
      <c r="Z2" s="1056"/>
      <c r="AF2" s="2144"/>
      <c r="AG2" s="2144"/>
      <c r="AH2" s="2144"/>
      <c r="AI2" s="2144"/>
      <c r="AJ2" s="2144"/>
      <c r="AK2" s="1878">
        <v>0</v>
      </c>
    </row>
    <row customHeight="1" ht="11.25" hidden="1">
      <c r="E3" s="2563" t="s">
        <v>756</v>
      </c>
      <c r="L3" s="2143">
        <f>0</f>
        <v>0</v>
      </c>
      <c r="M3" s="2143">
        <v>1</v>
      </c>
      <c r="AK3" s="2143">
        <v>0</v>
      </c>
    </row>
    <row s="50765" customFormat="1" customHeight="1" ht="11.25" hidden="1">
      <c r="A4" s="1499"/>
      <c r="B4" s="1499"/>
      <c r="C4" s="1499"/>
      <c r="E4" s="1499"/>
      <c r="F4" s="1878"/>
      <c r="G4" s="2148"/>
      <c r="H4" s="1132"/>
      <c r="N4" s="1878"/>
      <c r="O4" s="2144">
        <v>4</v>
      </c>
      <c r="P4" s="1878"/>
      <c r="Q4" s="2148"/>
      <c r="R4" s="2148"/>
      <c r="S4" s="1878"/>
      <c r="T4" s="1878"/>
      <c r="U4" s="1878"/>
      <c r="V4" s="1878"/>
      <c r="W4" s="2148"/>
      <c r="X4" s="1878"/>
      <c r="Y4" s="1878"/>
      <c r="Z4" s="1056"/>
      <c r="AA4" s="1878"/>
      <c r="AB4" s="1878"/>
      <c r="AC4" s="1878"/>
      <c r="AD4" s="1878"/>
      <c r="AE4" s="1878"/>
      <c r="AK4" s="2144">
        <v>0</v>
      </c>
    </row>
    <row customHeight="1" ht="11.549999999999999">
      <c r="AK5" s="2143">
        <v>11</v>
      </c>
    </row>
    <row customHeight="1" ht="57.75">
      <c r="I6" s="2819" t="s">
        <v>757</v>
      </c>
      <c r="J6" s="2819"/>
      <c r="K6" s="2819"/>
      <c r="L6" s="2819"/>
      <c r="M6" s="2819"/>
      <c r="O6" s="1068"/>
      <c r="AK6" s="2143">
        <v>55</v>
      </c>
    </row>
    <row customHeight="1" ht="25.2">
      <c r="I7" s="2761" t="str">
        <f>IF(org=0,"Не определено",org)</f>
        <v>КГУП "Примтеплоэнерго"</v>
      </c>
      <c r="J7" s="2761"/>
      <c r="K7" s="2761"/>
      <c r="L7" s="2761"/>
      <c r="M7" s="2761"/>
      <c r="AK7" s="2143">
        <v>24</v>
      </c>
    </row>
    <row customHeight="1" ht="11.549999999999999">
      <c r="I8" s="1647"/>
      <c r="J8" s="1647"/>
      <c r="K8" s="1647"/>
      <c r="L8" s="1647"/>
      <c r="M8" s="1647"/>
      <c r="AK8" s="2143">
        <v>11</v>
      </c>
    </row>
    <row s="50882" customFormat="1" customHeight="1" ht="30" hidden="1">
      <c r="A9" s="1679"/>
      <c r="B9" s="1679"/>
      <c r="C9" s="1679"/>
      <c r="E9" s="1679"/>
      <c r="H9" s="2154"/>
      <c r="L9" s="1401"/>
      <c r="M9" s="1401" t="s">
        <v>183</v>
      </c>
      <c r="AK9" s="2148">
        <v>1</v>
      </c>
    </row>
    <row customHeight="1" ht="11.549999999999999">
      <c r="E10" s="2562" t="s">
        <v>758</v>
      </c>
      <c r="I10" s="1223"/>
      <c r="J10" s="2879" t="s">
        <v>175</v>
      </c>
      <c r="K10" s="2880"/>
      <c r="L10" s="2541" t="str">
        <f>IF(L9="","",INDEX(DIFFERENTIATION_UNMERGE_VD,MATCH(L9,DIFFERENTIATION_ID_DIFF,0)))</f>
        <v/>
      </c>
      <c r="M10" s="2541">
        <f>IF(M9="","",INDEX(DIFFERENTIATION_UNMERGE_VD,MATCH(M9,DIFFERENTIATION_ID_DIFF,0)))</f>
        <v>0</v>
      </c>
      <c r="O10" s="2639" t="s">
        <v>440</v>
      </c>
      <c r="AK10" s="2143">
        <v>11</v>
      </c>
    </row>
    <row customHeight="1" ht="11.549999999999999">
      <c r="E11" s="2562" t="s">
        <v>759</v>
      </c>
      <c r="I11" s="1223"/>
      <c r="J11" s="2879" t="s">
        <v>702</v>
      </c>
      <c r="K11" s="2880"/>
      <c r="L11" s="2541" t="str">
        <f>IF(L9="","",INDEX(DIFFERENTIATION_UNMERGE_AREA,MATCH(L9,DIFFERENTIATION_ID_DIFF,0)))</f>
        <v/>
      </c>
      <c r="M11" s="2541" t="str">
        <f>IF(M9="","",INDEX(DIFFERENTIATION_UNMERGE_AREA,MATCH(M9,DIFFERENTIATION_ID_DIFF,0)))</f>
        <v/>
      </c>
      <c r="O11" s="2639"/>
      <c r="AK11" s="2143">
        <v>11</v>
      </c>
    </row>
    <row customHeight="1" ht="11.549999999999999">
      <c r="E12" s="2562" t="s">
        <v>760</v>
      </c>
      <c r="I12" s="2174"/>
      <c r="J12" s="2879" t="s">
        <v>703</v>
      </c>
      <c r="K12" s="2880"/>
      <c r="L12" s="2541" t="str">
        <f>IF(L9="","",INDEX(DIFFERENTIATION_UNMERGE_SYSTEM,MATCH(L9,DIFFERENTIATION_ID_DIFF,0)))</f>
        <v/>
      </c>
      <c r="M12" s="2541" t="str">
        <f>IF(M9="","",INDEX(DIFFERENTIATION_UNMERGE_SYSTEM,MATCH(M9,DIFFERENTIATION_ID_DIFF,0)))</f>
        <v>без дифференциации</v>
      </c>
      <c r="O12" s="2639"/>
      <c r="AK12" s="2143">
        <v>11</v>
      </c>
    </row>
    <row customHeight="1" ht="11.549999999999999">
      <c r="E13" s="2562" t="s">
        <v>761</v>
      </c>
      <c r="F13" s="2562" t="s">
        <v>762</v>
      </c>
      <c r="I13" s="2881" t="s">
        <v>439</v>
      </c>
      <c r="J13" s="2882"/>
      <c r="K13" s="2882"/>
      <c r="L13" s="2539"/>
      <c r="M13" s="2579"/>
      <c r="O13" s="2639"/>
      <c r="AK13" s="2143">
        <v>11</v>
      </c>
    </row>
    <row customHeight="1" ht="24">
      <c r="I14" s="2532" t="s">
        <v>90</v>
      </c>
      <c r="J14" s="2532" t="s">
        <v>441</v>
      </c>
      <c r="K14" s="2532" t="s">
        <v>704</v>
      </c>
      <c r="L14" s="2572" t="s">
        <v>442</v>
      </c>
      <c r="M14" s="2573" t="s">
        <v>442</v>
      </c>
      <c r="O14" s="2639"/>
      <c r="AK14" s="2143">
        <v>23</v>
      </c>
    </row>
    <row customHeight="1" ht="24">
      <c r="A15" s="2566"/>
      <c r="B15" s="2565" t="s">
        <v>763</v>
      </c>
      <c r="C15" s="2565" t="s">
        <v>764</v>
      </c>
      <c r="D15" s="2564" t="s">
        <v>765</v>
      </c>
      <c r="E15" s="2568" t="s">
        <v>766</v>
      </c>
      <c r="F15" s="2568" t="s">
        <v>766</v>
      </c>
      <c r="G15" s="2148" t="s">
        <v>726</v>
      </c>
      <c r="H15" s="2533"/>
      <c r="I15" s="2142">
        <v>1</v>
      </c>
      <c r="J15" s="2534" t="s">
        <v>767</v>
      </c>
      <c r="K15" s="2532" t="s">
        <v>445</v>
      </c>
      <c r="L15" s="1174"/>
      <c r="M15" s="1330"/>
      <c r="N15" s="1055" t="s">
        <v>768</v>
      </c>
      <c r="O15" s="2037" t="s">
        <v>769</v>
      </c>
      <c r="P15" s="1055" t="s">
        <v>768</v>
      </c>
      <c r="AK15" s="2143">
        <v>23</v>
      </c>
    </row>
    <row customHeight="1" ht="35.699999999999996">
      <c r="A16" s="2566"/>
      <c r="B16" s="2565" t="s">
        <v>770</v>
      </c>
      <c r="C16" s="2565" t="s">
        <v>771</v>
      </c>
      <c r="D16" s="2564" t="s">
        <v>755</v>
      </c>
      <c r="E16" s="2568" t="s">
        <v>766</v>
      </c>
      <c r="F16" s="2568" t="s">
        <v>766</v>
      </c>
      <c r="H16" s="2533"/>
      <c r="I16" s="2141">
        <v>2</v>
      </c>
      <c r="J16" s="2575" t="s">
        <v>772</v>
      </c>
      <c r="K16" s="2574" t="s">
        <v>694</v>
      </c>
      <c r="L16" s="2580"/>
      <c r="M16" s="2188"/>
      <c r="N16" s="1055" t="s">
        <v>768</v>
      </c>
      <c r="O16" s="2037" t="s">
        <v>773</v>
      </c>
      <c r="P16" s="1055" t="s">
        <v>768</v>
      </c>
      <c r="AK16" s="2143">
        <v>34</v>
      </c>
    </row>
    <row s="50882" customFormat="1" customHeight="1" ht="17.25" hidden="1">
      <c r="A17" s="1679"/>
      <c r="B17" s="1679"/>
      <c r="C17" s="1679"/>
      <c r="D17" s="1679"/>
      <c r="E17" s="1679"/>
      <c r="H17" s="1836"/>
      <c r="I17" s="1525" t="s">
        <v>774</v>
      </c>
      <c r="J17" s="1503"/>
      <c r="K17" s="1525"/>
      <c r="L17" s="1504"/>
      <c r="M17" s="1504"/>
      <c r="O17" s="1897"/>
      <c r="AK17" s="2148">
        <v>1</v>
      </c>
    </row>
    <row s="50881" customFormat="1" customHeight="1" ht="24">
      <c r="A18" s="1499"/>
      <c r="B18" s="1499"/>
      <c r="C18" s="1499"/>
      <c r="D18" s="1499"/>
      <c r="E18" s="1499"/>
      <c r="G18" s="2148"/>
      <c r="H18" s="2145"/>
      <c r="I18" s="1082"/>
      <c r="J18" s="1083" t="s">
        <v>724</v>
      </c>
      <c r="K18" s="1084"/>
      <c r="L18" s="2582"/>
      <c r="M18" s="1085"/>
      <c r="N18" s="1055"/>
      <c r="O18" s="2037" t="s">
        <v>725</v>
      </c>
      <c r="P18" s="1055"/>
      <c r="Q18" s="2148"/>
      <c r="R18" s="2148"/>
      <c r="W18" s="2148"/>
      <c r="Z18" s="1056"/>
      <c r="AF18" s="2144"/>
      <c r="AG18" s="2144"/>
      <c r="AH18" s="2144"/>
      <c r="AI18" s="2144"/>
      <c r="AJ18" s="2144"/>
      <c r="AK18" s="1878">
        <v>23</v>
      </c>
    </row>
    <row customHeight="1" ht="19.95">
      <c r="A19" s="2566"/>
      <c r="B19" s="2565" t="s">
        <v>775</v>
      </c>
      <c r="C19" s="2565" t="s">
        <v>776</v>
      </c>
      <c r="D19" s="2564" t="s">
        <v>755</v>
      </c>
      <c r="E19" s="2568" t="s">
        <v>766</v>
      </c>
      <c r="F19" s="2568" t="s">
        <v>766</v>
      </c>
      <c r="H19" s="2533"/>
      <c r="I19" s="2176">
        <v>3</v>
      </c>
      <c r="J19" s="2534" t="s">
        <v>776</v>
      </c>
      <c r="K19" s="2530" t="s">
        <v>694</v>
      </c>
      <c r="L19" s="1239"/>
      <c r="M19" s="1069"/>
      <c r="N19" s="1055"/>
      <c r="O19" s="2037" t="s">
        <v>777</v>
      </c>
      <c r="P19" s="1055"/>
      <c r="AK19" s="2143">
        <v>19</v>
      </c>
    </row>
    <row customHeight="1" ht="77.7">
      <c r="A20" s="2566"/>
      <c r="B20" s="2565" t="s">
        <v>778</v>
      </c>
      <c r="C20" s="2565" t="s">
        <v>779</v>
      </c>
      <c r="D20" s="2564" t="s">
        <v>755</v>
      </c>
      <c r="E20" s="2568" t="s">
        <v>766</v>
      </c>
      <c r="F20" s="2568" t="s">
        <v>766</v>
      </c>
      <c r="H20" s="2533"/>
      <c r="I20" s="2176">
        <v>4</v>
      </c>
      <c r="J20" s="2534" t="s">
        <v>780</v>
      </c>
      <c r="K20" s="2530" t="s">
        <v>721</v>
      </c>
      <c r="L20" s="1239"/>
      <c r="M20" s="1069"/>
      <c r="N20" s="1055"/>
      <c r="O20" s="2037"/>
      <c r="P20" s="1055"/>
      <c r="AK20" s="2143">
        <v>74</v>
      </c>
    </row>
    <row customHeight="1" ht="35.699999999999996">
      <c r="A21" s="2566"/>
      <c r="B21" s="2565" t="s">
        <v>781</v>
      </c>
      <c r="C21" s="2565" t="s">
        <v>782</v>
      </c>
      <c r="D21" s="2564" t="s">
        <v>755</v>
      </c>
      <c r="E21" s="2568" t="s">
        <v>766</v>
      </c>
      <c r="F21" s="2568" t="s">
        <v>766</v>
      </c>
      <c r="H21" s="2533"/>
      <c r="I21" s="2176">
        <v>5</v>
      </c>
      <c r="J21" s="2534" t="s">
        <v>783</v>
      </c>
      <c r="K21" s="2530" t="s">
        <v>721</v>
      </c>
      <c r="L21" s="1239"/>
      <c r="M21" s="1069"/>
      <c r="N21" s="1055"/>
      <c r="O21" s="2037" t="s">
        <v>777</v>
      </c>
      <c r="P21" s="1055"/>
      <c r="AK21" s="2143">
        <v>34</v>
      </c>
    </row>
    <row customHeight="1" ht="48.29999999999999">
      <c r="A22" s="2566"/>
      <c r="B22" s="2565" t="s">
        <v>784</v>
      </c>
      <c r="C22" s="2565" t="s">
        <v>785</v>
      </c>
      <c r="D22" s="2564" t="s">
        <v>755</v>
      </c>
      <c r="E22" s="2568" t="s">
        <v>766</v>
      </c>
      <c r="F22" s="2568" t="s">
        <v>766</v>
      </c>
      <c r="H22" s="2533"/>
      <c r="I22" s="2176">
        <v>6</v>
      </c>
      <c r="J22" s="2534" t="s">
        <v>786</v>
      </c>
      <c r="K22" s="2530" t="s">
        <v>721</v>
      </c>
      <c r="L22" s="1239"/>
      <c r="M22" s="1069"/>
      <c r="N22" s="1055"/>
      <c r="O22" s="2037" t="s">
        <v>787</v>
      </c>
      <c r="P22" s="1055"/>
      <c r="AK22" s="2143">
        <v>46</v>
      </c>
    </row>
    <row customHeight="1" ht="19.95">
      <c r="A23" s="2566"/>
      <c r="B23" s="2565" t="s">
        <v>788</v>
      </c>
      <c r="C23" s="2565" t="s">
        <v>789</v>
      </c>
      <c r="D23" s="2564" t="s">
        <v>755</v>
      </c>
      <c r="E23" s="2568" t="s">
        <v>766</v>
      </c>
      <c r="F23" s="2568" t="s">
        <v>766</v>
      </c>
      <c r="H23" s="2533"/>
      <c r="I23" s="2176" t="s">
        <v>790</v>
      </c>
      <c r="J23" s="2036" t="s">
        <v>791</v>
      </c>
      <c r="K23" s="2530" t="s">
        <v>721</v>
      </c>
      <c r="L23" s="1239"/>
      <c r="M23" s="1069"/>
      <c r="N23" s="1055"/>
      <c r="O23" s="2037" t="s">
        <v>777</v>
      </c>
      <c r="P23" s="1055"/>
      <c r="AK23" s="2143">
        <v>19</v>
      </c>
    </row>
    <row customHeight="1" ht="19.95">
      <c r="A24" s="2566"/>
      <c r="B24" s="2565" t="s">
        <v>792</v>
      </c>
      <c r="C24" s="2565" t="s">
        <v>793</v>
      </c>
      <c r="D24" s="2564" t="s">
        <v>755</v>
      </c>
      <c r="E24" s="2568" t="s">
        <v>766</v>
      </c>
      <c r="F24" s="2568" t="s">
        <v>766</v>
      </c>
      <c r="H24" s="2533"/>
      <c r="I24" s="2176" t="s">
        <v>794</v>
      </c>
      <c r="J24" s="2036" t="s">
        <v>795</v>
      </c>
      <c r="K24" s="2530" t="s">
        <v>721</v>
      </c>
      <c r="L24" s="1239"/>
      <c r="M24" s="1069"/>
      <c r="N24" s="1055"/>
      <c r="O24" s="2037"/>
      <c r="P24" s="1055"/>
      <c r="AK24" s="2143">
        <v>19</v>
      </c>
    </row>
    <row customHeight="1" ht="24">
      <c r="A25" s="2566"/>
      <c r="B25" s="2565" t="s">
        <v>796</v>
      </c>
      <c r="C25" s="2565" t="s">
        <v>797</v>
      </c>
      <c r="D25" s="2564" t="s">
        <v>755</v>
      </c>
      <c r="E25" s="2568" t="s">
        <v>766</v>
      </c>
      <c r="F25" s="2568" t="s">
        <v>766</v>
      </c>
      <c r="H25" s="2533"/>
      <c r="I25" s="2176" t="s">
        <v>798</v>
      </c>
      <c r="J25" s="2036" t="s">
        <v>799</v>
      </c>
      <c r="K25" s="2530" t="s">
        <v>721</v>
      </c>
      <c r="L25" s="1239"/>
      <c r="M25" s="1069"/>
      <c r="N25" s="1055"/>
      <c r="O25" s="2037"/>
      <c r="P25" s="1055"/>
      <c r="AK25" s="2143">
        <v>23</v>
      </c>
    </row>
    <row customHeight="1" ht="24">
      <c r="A26" s="2566"/>
      <c r="B26" s="2565" t="s">
        <v>800</v>
      </c>
      <c r="C26" s="2565" t="s">
        <v>801</v>
      </c>
      <c r="D26" s="2564" t="s">
        <v>755</v>
      </c>
      <c r="E26" s="2568" t="s">
        <v>766</v>
      </c>
      <c r="F26" s="2568" t="s">
        <v>766</v>
      </c>
      <c r="H26" s="2533"/>
      <c r="I26" s="2176">
        <v>7</v>
      </c>
      <c r="J26" s="2534" t="s">
        <v>801</v>
      </c>
      <c r="K26" s="2530" t="s">
        <v>802</v>
      </c>
      <c r="L26" s="1239"/>
      <c r="M26" s="1069"/>
      <c r="N26" s="1055"/>
      <c r="O26" s="2037"/>
      <c r="P26" s="1055"/>
      <c r="AK26" s="2143">
        <v>23</v>
      </c>
    </row>
    <row customHeight="1" ht="24">
      <c r="A27" s="2566"/>
      <c r="B27" s="2565" t="s">
        <v>803</v>
      </c>
      <c r="C27" s="2565" t="s">
        <v>804</v>
      </c>
      <c r="D27" s="2564" t="s">
        <v>755</v>
      </c>
      <c r="E27" s="2568" t="s">
        <v>766</v>
      </c>
      <c r="F27" s="2568" t="s">
        <v>766</v>
      </c>
      <c r="H27" s="2533"/>
      <c r="I27" s="2176">
        <v>8</v>
      </c>
      <c r="J27" s="2534" t="s">
        <v>804</v>
      </c>
      <c r="K27" s="2530" t="s">
        <v>727</v>
      </c>
      <c r="L27" s="1239"/>
      <c r="M27" s="1069"/>
      <c r="N27" s="1055"/>
      <c r="O27" s="2037"/>
      <c r="P27" s="1055"/>
      <c r="AK27" s="2143">
        <v>23</v>
      </c>
    </row>
    <row customHeight="1" ht="35.699999999999996">
      <c r="A28" s="2566"/>
      <c r="B28" s="2565" t="s">
        <v>805</v>
      </c>
      <c r="C28" s="2565" t="s">
        <v>806</v>
      </c>
      <c r="D28" s="2564" t="s">
        <v>755</v>
      </c>
      <c r="E28" s="2568" t="s">
        <v>766</v>
      </c>
      <c r="F28" s="2568" t="s">
        <v>766</v>
      </c>
      <c r="H28" s="2533"/>
      <c r="I28" s="2187">
        <v>9</v>
      </c>
      <c r="J28" s="2534" t="s">
        <v>807</v>
      </c>
      <c r="K28" s="2530" t="s">
        <v>698</v>
      </c>
      <c r="L28" s="1239"/>
      <c r="M28" s="1069"/>
      <c r="N28" s="1055"/>
      <c r="O28" s="2037"/>
      <c r="P28" s="1055"/>
      <c r="AK28" s="2143">
        <v>34</v>
      </c>
    </row>
    <row customHeight="1" ht="35.699999999999996">
      <c r="A29" s="2566"/>
      <c r="B29" s="2565" t="s">
        <v>808</v>
      </c>
      <c r="C29" s="2565" t="s">
        <v>809</v>
      </c>
      <c r="D29" s="2564" t="s">
        <v>755</v>
      </c>
      <c r="E29" s="2568" t="s">
        <v>766</v>
      </c>
      <c r="F29" s="2568" t="s">
        <v>766</v>
      </c>
      <c r="H29" s="2533"/>
      <c r="I29" s="2187">
        <v>10</v>
      </c>
      <c r="J29" s="2534" t="s">
        <v>810</v>
      </c>
      <c r="K29" s="2530" t="s">
        <v>698</v>
      </c>
      <c r="L29" s="1239"/>
      <c r="M29" s="1069"/>
      <c r="N29" s="1055"/>
      <c r="O29" s="2037"/>
      <c r="P29" s="1055"/>
      <c r="AK29" s="2143">
        <v>34</v>
      </c>
    </row>
    <row customHeight="1" ht="24">
      <c r="A30" s="2566"/>
      <c r="B30" s="2565" t="s">
        <v>811</v>
      </c>
      <c r="C30" s="2565" t="s">
        <v>812</v>
      </c>
      <c r="D30" s="2564" t="s">
        <v>755</v>
      </c>
      <c r="E30" s="2568" t="s">
        <v>766</v>
      </c>
      <c r="F30" s="2568" t="s">
        <v>766</v>
      </c>
      <c r="H30" s="2533"/>
      <c r="I30" s="2187">
        <v>11</v>
      </c>
      <c r="J30" s="2534" t="s">
        <v>812</v>
      </c>
      <c r="K30" s="2530" t="s">
        <v>728</v>
      </c>
      <c r="L30" s="2581"/>
      <c r="M30" s="2133"/>
      <c r="N30" s="1055"/>
      <c r="O30" s="2037"/>
      <c r="P30" s="1055"/>
      <c r="AK30" s="2143">
        <v>23</v>
      </c>
    </row>
    <row customHeight="1" ht="24">
      <c r="A31" s="2566"/>
      <c r="B31" s="2565" t="s">
        <v>813</v>
      </c>
      <c r="C31" s="2565" t="s">
        <v>814</v>
      </c>
      <c r="D31" s="2564" t="s">
        <v>755</v>
      </c>
      <c r="E31" s="2568" t="s">
        <v>766</v>
      </c>
      <c r="F31" s="2568" t="s">
        <v>766</v>
      </c>
      <c r="H31" s="2533"/>
      <c r="I31" s="2187">
        <v>12</v>
      </c>
      <c r="J31" s="2534" t="s">
        <v>814</v>
      </c>
      <c r="K31" s="2530" t="s">
        <v>728</v>
      </c>
      <c r="L31" s="2581"/>
      <c r="M31" s="2133"/>
      <c r="N31" s="1055"/>
      <c r="O31" s="2037"/>
      <c r="P31" s="1055"/>
      <c r="AK31" s="2143">
        <v>23</v>
      </c>
    </row>
    <row customHeight="1" ht="48.29999999999999">
      <c r="A32" s="2566"/>
      <c r="B32" s="2565" t="s">
        <v>815</v>
      </c>
      <c r="C32" s="2565" t="s">
        <v>816</v>
      </c>
      <c r="D32" s="2564" t="s">
        <v>755</v>
      </c>
      <c r="E32" s="2568" t="s">
        <v>766</v>
      </c>
      <c r="F32" s="2568" t="s">
        <v>766</v>
      </c>
      <c r="H32" s="2533"/>
      <c r="I32" s="2187">
        <v>13</v>
      </c>
      <c r="J32" s="2534" t="s">
        <v>817</v>
      </c>
      <c r="K32" s="2530" t="s">
        <v>738</v>
      </c>
      <c r="L32" s="1239"/>
      <c r="M32" s="1069"/>
      <c r="N32" s="1055"/>
      <c r="O32" s="2037" t="s">
        <v>777</v>
      </c>
      <c r="P32" s="1055"/>
      <c r="AK32" s="2143">
        <v>46</v>
      </c>
    </row>
    <row s="50881" customFormat="1" customHeight="1" ht="48.29999999999999">
      <c r="A33" s="2566"/>
      <c r="B33" s="2565" t="s">
        <v>818</v>
      </c>
      <c r="C33" s="2565" t="s">
        <v>819</v>
      </c>
      <c r="D33" s="2564" t="s">
        <v>755</v>
      </c>
      <c r="E33" s="2568" t="s">
        <v>766</v>
      </c>
      <c r="F33" s="2568" t="s">
        <v>766</v>
      </c>
      <c r="G33" s="2148"/>
      <c r="H33" s="2533"/>
      <c r="I33" s="2187">
        <v>14</v>
      </c>
      <c r="J33" s="2546" t="s">
        <v>820</v>
      </c>
      <c r="K33" s="2535" t="s">
        <v>821</v>
      </c>
      <c r="L33" s="1239"/>
      <c r="M33" s="1069"/>
      <c r="N33" s="1055"/>
      <c r="O33" s="2037" t="s">
        <v>777</v>
      </c>
      <c r="P33" s="1055"/>
      <c r="Q33" s="2148"/>
      <c r="R33" s="2148"/>
      <c r="W33" s="2148"/>
      <c r="Z33" s="1056"/>
      <c r="AF33" s="2144"/>
      <c r="AG33" s="2144"/>
      <c r="AH33" s="2144"/>
      <c r="AI33" s="2144"/>
      <c r="AJ33" s="2144"/>
      <c r="AK33" s="1878">
        <v>46</v>
      </c>
    </row>
    <row customHeight="1" ht="108">
      <c r="A34" s="2566"/>
      <c r="B34" s="2565" t="s">
        <v>822</v>
      </c>
      <c r="C34" s="2565" t="s">
        <v>823</v>
      </c>
      <c r="D34" s="2564" t="s">
        <v>765</v>
      </c>
      <c r="E34" s="2568" t="s">
        <v>766</v>
      </c>
      <c r="F34" s="2568" t="s">
        <v>766</v>
      </c>
      <c r="G34" s="2148" t="s">
        <v>726</v>
      </c>
      <c r="H34" s="2533"/>
      <c r="I34" s="2544">
        <v>15</v>
      </c>
      <c r="J34" s="2545" t="s">
        <v>824</v>
      </c>
      <c r="K34" s="2530" t="s">
        <v>445</v>
      </c>
      <c r="L34" s="897"/>
      <c r="M34" s="1676"/>
      <c r="N34" s="1055"/>
      <c r="O34" s="2037" t="s">
        <v>769</v>
      </c>
      <c r="P34" s="1055"/>
      <c r="AK34" s="2143">
        <v>103</v>
      </c>
    </row>
    <row s="51564" customFormat="1" customHeight="1" ht="11.549999999999999">
      <c r="A35" s="1499"/>
      <c r="B35" s="1499"/>
      <c r="C35" s="1499"/>
      <c r="D35" s="1499"/>
      <c r="E35" s="1499"/>
      <c r="F35" s="2148"/>
      <c r="G35" s="2148"/>
      <c r="H35" s="863"/>
      <c r="N35" s="1878"/>
      <c r="P35" s="1878"/>
      <c r="Q35" s="2148"/>
      <c r="R35" s="2148"/>
      <c r="S35" s="1878"/>
      <c r="T35" s="1878"/>
      <c r="U35" s="1878"/>
      <c r="V35" s="1878"/>
      <c r="W35" s="2148"/>
      <c r="X35" s="1878"/>
      <c r="Y35" s="1878"/>
      <c r="Z35" s="1056"/>
      <c r="AA35" s="1878"/>
      <c r="AB35" s="1878"/>
      <c r="AC35" s="1878"/>
      <c r="AD35" s="1878"/>
      <c r="AE35" s="1878"/>
      <c r="AF35" s="2144"/>
      <c r="AG35" s="1134"/>
      <c r="AH35" s="1134"/>
      <c r="AI35" s="1134"/>
      <c r="AJ35" s="1134"/>
      <c r="AK35" s="2153">
        <v>11</v>
      </c>
    </row>
    <row s="51564" customFormat="1" customHeight="1" ht="11.549999999999999">
      <c r="A36" s="1499"/>
      <c r="B36" s="1499"/>
      <c r="C36" s="1499"/>
      <c r="D36" s="1499"/>
      <c r="E36" s="1499"/>
      <c r="F36" s="2148"/>
      <c r="G36" s="2148"/>
      <c r="H36" s="863"/>
      <c r="N36" s="1878"/>
      <c r="P36" s="1878"/>
      <c r="Q36" s="2148"/>
      <c r="R36" s="2148"/>
      <c r="S36" s="1878"/>
      <c r="T36" s="1878"/>
      <c r="U36" s="1878"/>
      <c r="V36" s="1878"/>
      <c r="W36" s="2148"/>
      <c r="X36" s="1878"/>
      <c r="Y36" s="1878"/>
      <c r="Z36" s="1056"/>
      <c r="AA36" s="1878"/>
      <c r="AB36" s="1878"/>
      <c r="AC36" s="1878"/>
      <c r="AD36" s="1878"/>
      <c r="AE36" s="1878"/>
      <c r="AF36" s="2144"/>
      <c r="AG36" s="1134"/>
      <c r="AH36" s="1134"/>
      <c r="AI36" s="1134"/>
      <c r="AJ36" s="1134"/>
      <c r="AK36" s="2153">
        <v>11</v>
      </c>
    </row>
    <row s="51564" customFormat="1" customHeight="1" ht="11.549999999999999">
      <c r="A37" s="1499"/>
      <c r="B37" s="1499"/>
      <c r="C37" s="1499"/>
      <c r="D37" s="1499"/>
      <c r="E37" s="1499"/>
      <c r="F37" s="2148"/>
      <c r="G37" s="2148"/>
      <c r="H37" s="863"/>
      <c r="L37" s="1134"/>
      <c r="M37" s="1134"/>
      <c r="N37" s="1878"/>
      <c r="P37" s="1878"/>
      <c r="Q37" s="2148"/>
      <c r="R37" s="2148"/>
      <c r="S37" s="1878"/>
      <c r="T37" s="1878"/>
      <c r="U37" s="1878"/>
      <c r="V37" s="1878"/>
      <c r="W37" s="2148"/>
      <c r="X37" s="1878"/>
      <c r="Y37" s="1878"/>
      <c r="Z37" s="1056"/>
      <c r="AA37" s="1878"/>
      <c r="AB37" s="1878"/>
      <c r="AC37" s="1878"/>
      <c r="AD37" s="1878"/>
      <c r="AE37" s="1878"/>
      <c r="AF37" s="2144"/>
      <c r="AG37" s="1134"/>
      <c r="AH37" s="1134"/>
      <c r="AI37" s="1134"/>
      <c r="AJ37" s="1134"/>
      <c r="AK37" s="2153">
        <v>11</v>
      </c>
    </row>
    <row s="51564" customFormat="1" customHeight="1" ht="11.549999999999999">
      <c r="A38" s="1499"/>
      <c r="B38" s="1499"/>
      <c r="C38" s="1499"/>
      <c r="D38" s="1499"/>
      <c r="E38" s="1499"/>
      <c r="F38" s="2148"/>
      <c r="G38" s="2148"/>
      <c r="H38" s="863"/>
      <c r="N38" s="1878"/>
      <c r="P38" s="1878"/>
      <c r="Q38" s="2148"/>
      <c r="R38" s="2148"/>
      <c r="S38" s="1878"/>
      <c r="T38" s="1878"/>
      <c r="U38" s="1878"/>
      <c r="V38" s="1878"/>
      <c r="W38" s="2148"/>
      <c r="X38" s="1878"/>
      <c r="Y38" s="1878"/>
      <c r="Z38" s="1056"/>
      <c r="AA38" s="1878"/>
      <c r="AB38" s="1878"/>
      <c r="AC38" s="1878"/>
      <c r="AD38" s="1878"/>
      <c r="AE38" s="1878"/>
      <c r="AF38" s="2144"/>
      <c r="AG38" s="1134"/>
      <c r="AH38" s="1134"/>
      <c r="AI38" s="1134"/>
      <c r="AJ38" s="1134"/>
      <c r="AK38" s="2153">
        <v>11</v>
      </c>
    </row>
    <row s="51564" customFormat="1" customHeight="1" ht="11.549999999999999">
      <c r="A39" s="1499"/>
      <c r="B39" s="1499"/>
      <c r="C39" s="1499"/>
      <c r="D39" s="1499"/>
      <c r="E39" s="1499"/>
      <c r="F39" s="2148"/>
      <c r="G39" s="2148"/>
      <c r="H39" s="863"/>
      <c r="N39" s="1878"/>
      <c r="P39" s="1878"/>
      <c r="Q39" s="2148"/>
      <c r="R39" s="2148"/>
      <c r="S39" s="1878"/>
      <c r="T39" s="1878"/>
      <c r="U39" s="1878"/>
      <c r="V39" s="1878"/>
      <c r="W39" s="2148"/>
      <c r="X39" s="1878"/>
      <c r="Y39" s="1878"/>
      <c r="Z39" s="1056"/>
      <c r="AA39" s="1878"/>
      <c r="AB39" s="1878"/>
      <c r="AC39" s="1878"/>
      <c r="AD39" s="1878"/>
      <c r="AE39" s="1878"/>
      <c r="AF39" s="2144"/>
      <c r="AG39" s="1134"/>
      <c r="AH39" s="1134"/>
      <c r="AI39" s="1134"/>
      <c r="AJ39" s="1134"/>
      <c r="AK39" s="2153">
        <v>11</v>
      </c>
    </row>
    <row s="51564" customFormat="1" customHeight="1" ht="11.549999999999999">
      <c r="A40" s="1499"/>
      <c r="B40" s="1499"/>
      <c r="C40" s="1499"/>
      <c r="D40" s="1499"/>
      <c r="E40" s="1499"/>
      <c r="F40" s="2148"/>
      <c r="G40" s="2148"/>
      <c r="H40" s="863"/>
      <c r="N40" s="1878"/>
      <c r="P40" s="1878"/>
      <c r="Q40" s="2148"/>
      <c r="R40" s="2148"/>
      <c r="S40" s="1878"/>
      <c r="T40" s="1878"/>
      <c r="U40" s="1878"/>
      <c r="V40" s="1878"/>
      <c r="W40" s="2148"/>
      <c r="X40" s="1878"/>
      <c r="Y40" s="1878"/>
      <c r="Z40" s="1056"/>
      <c r="AA40" s="1878"/>
      <c r="AB40" s="1878"/>
      <c r="AC40" s="1878"/>
      <c r="AD40" s="1878"/>
      <c r="AE40" s="1878"/>
      <c r="AF40" s="2144"/>
      <c r="AG40" s="1134"/>
      <c r="AH40" s="1134"/>
      <c r="AI40" s="1134"/>
      <c r="AJ40" s="1134"/>
      <c r="AK40" s="2153">
        <v>11</v>
      </c>
    </row>
    <row s="51564" customFormat="1" customHeight="1" ht="11.549999999999999">
      <c r="A41" s="1499"/>
      <c r="B41" s="1499"/>
      <c r="C41" s="1499"/>
      <c r="D41" s="1499"/>
      <c r="E41" s="1499"/>
      <c r="F41" s="2148"/>
      <c r="G41" s="2148"/>
      <c r="H41" s="863"/>
      <c r="N41" s="1878"/>
      <c r="P41" s="1878"/>
      <c r="Q41" s="2148"/>
      <c r="R41" s="2148"/>
      <c r="S41" s="1878"/>
      <c r="T41" s="1878"/>
      <c r="U41" s="1878"/>
      <c r="V41" s="1878"/>
      <c r="W41" s="2148"/>
      <c r="X41" s="1878"/>
      <c r="Y41" s="1878"/>
      <c r="Z41" s="1056"/>
      <c r="AA41" s="1878"/>
      <c r="AB41" s="1878"/>
      <c r="AC41" s="1878"/>
      <c r="AD41" s="1878"/>
      <c r="AE41" s="1878"/>
      <c r="AF41" s="2144"/>
      <c r="AG41" s="1134"/>
      <c r="AH41" s="1134"/>
      <c r="AI41" s="1134"/>
      <c r="AJ41" s="1134"/>
      <c r="AK41" s="2153">
        <v>11</v>
      </c>
    </row>
    <row s="51564" customFormat="1" customHeight="1" ht="11.549999999999999">
      <c r="A42" s="1499"/>
      <c r="B42" s="1499"/>
      <c r="C42" s="1499"/>
      <c r="D42" s="1499"/>
      <c r="E42" s="1499"/>
      <c r="F42" s="2148"/>
      <c r="G42" s="2148"/>
      <c r="H42" s="863"/>
      <c r="N42" s="1878"/>
      <c r="P42" s="1878"/>
      <c r="Q42" s="2148"/>
      <c r="R42" s="2148"/>
      <c r="S42" s="1878"/>
      <c r="T42" s="1878"/>
      <c r="U42" s="1878"/>
      <c r="V42" s="1878"/>
      <c r="W42" s="2148"/>
      <c r="X42" s="1878"/>
      <c r="Y42" s="1878"/>
      <c r="Z42" s="1056"/>
      <c r="AA42" s="1878"/>
      <c r="AB42" s="1878"/>
      <c r="AC42" s="1878"/>
      <c r="AD42" s="1878"/>
      <c r="AE42" s="1878"/>
      <c r="AF42" s="2144"/>
      <c r="AG42" s="1134"/>
      <c r="AH42" s="1134"/>
      <c r="AI42" s="1134"/>
      <c r="AJ42" s="1134"/>
      <c r="AK42" s="2153">
        <v>11</v>
      </c>
    </row>
    <row s="51564" customFormat="1" customHeight="1" ht="11.549999999999999">
      <c r="A43" s="1499"/>
      <c r="B43" s="1499"/>
      <c r="C43" s="1499"/>
      <c r="D43" s="1499"/>
      <c r="E43" s="1499"/>
      <c r="F43" s="2148"/>
      <c r="G43" s="2148"/>
      <c r="H43" s="863"/>
      <c r="N43" s="1878"/>
      <c r="P43" s="1878"/>
      <c r="Q43" s="2148"/>
      <c r="R43" s="2148"/>
      <c r="S43" s="1878"/>
      <c r="T43" s="1878"/>
      <c r="U43" s="1878"/>
      <c r="V43" s="1878"/>
      <c r="W43" s="2148"/>
      <c r="X43" s="1878"/>
      <c r="Y43" s="1878"/>
      <c r="Z43" s="1056"/>
      <c r="AA43" s="1878"/>
      <c r="AB43" s="1878"/>
      <c r="AC43" s="1878"/>
      <c r="AD43" s="1878"/>
      <c r="AE43" s="1878"/>
      <c r="AF43" s="2144"/>
      <c r="AG43" s="1134"/>
      <c r="AH43" s="1134"/>
      <c r="AI43" s="1134"/>
      <c r="AJ43" s="1134"/>
      <c r="AK43" s="2153">
        <v>11</v>
      </c>
    </row>
    <row s="51564" customFormat="1" customHeight="1" ht="11.549999999999999">
      <c r="A44" s="1499"/>
      <c r="B44" s="1499"/>
      <c r="C44" s="1499"/>
      <c r="D44" s="1499"/>
      <c r="E44" s="1499"/>
      <c r="F44" s="2148"/>
      <c r="G44" s="2148"/>
      <c r="H44" s="863"/>
      <c r="N44" s="1878"/>
      <c r="P44" s="1878"/>
      <c r="Q44" s="2148"/>
      <c r="R44" s="2148"/>
      <c r="S44" s="1878"/>
      <c r="T44" s="1878"/>
      <c r="U44" s="1878"/>
      <c r="V44" s="1878"/>
      <c r="W44" s="2148"/>
      <c r="X44" s="1878"/>
      <c r="Y44" s="1878"/>
      <c r="Z44" s="1056"/>
      <c r="AA44" s="1878"/>
      <c r="AB44" s="1878"/>
      <c r="AC44" s="1878"/>
      <c r="AD44" s="1878"/>
      <c r="AE44" s="1878"/>
      <c r="AF44" s="2144"/>
      <c r="AG44" s="1134"/>
      <c r="AH44" s="1134"/>
      <c r="AI44" s="1134"/>
      <c r="AJ44" s="1134"/>
      <c r="AK44" s="2153">
        <v>11</v>
      </c>
    </row>
    <row s="51564" customFormat="1" customHeight="1" ht="11.549999999999999">
      <c r="A45" s="1499"/>
      <c r="B45" s="1499"/>
      <c r="C45" s="1499"/>
      <c r="D45" s="1499"/>
      <c r="E45" s="1499"/>
      <c r="F45" s="2148"/>
      <c r="G45" s="2148"/>
      <c r="H45" s="863"/>
      <c r="N45" s="1878"/>
      <c r="P45" s="1878"/>
      <c r="Q45" s="2148"/>
      <c r="R45" s="2148"/>
      <c r="S45" s="1878"/>
      <c r="T45" s="1878"/>
      <c r="U45" s="1878"/>
      <c r="V45" s="1878"/>
      <c r="W45" s="2148"/>
      <c r="X45" s="1878"/>
      <c r="Y45" s="1878"/>
      <c r="Z45" s="1056"/>
      <c r="AA45" s="1878"/>
      <c r="AB45" s="1878"/>
      <c r="AC45" s="1878"/>
      <c r="AD45" s="1878"/>
      <c r="AE45" s="1878"/>
      <c r="AF45" s="2144"/>
      <c r="AG45" s="1134"/>
      <c r="AH45" s="1134"/>
      <c r="AI45" s="1134"/>
      <c r="AJ45" s="1134"/>
      <c r="AK45" s="2153">
        <v>11</v>
      </c>
    </row>
    <row s="51564" customFormat="1" customHeight="1" ht="11.549999999999999">
      <c r="A46" s="1499"/>
      <c r="B46" s="1499"/>
      <c r="C46" s="1499"/>
      <c r="D46" s="1499"/>
      <c r="E46" s="1499"/>
      <c r="F46" s="2148"/>
      <c r="G46" s="2148"/>
      <c r="H46" s="863"/>
      <c r="N46" s="1878"/>
      <c r="P46" s="1878"/>
      <c r="Q46" s="2148"/>
      <c r="R46" s="2148"/>
      <c r="S46" s="1878"/>
      <c r="T46" s="1878"/>
      <c r="U46" s="1878"/>
      <c r="V46" s="1878"/>
      <c r="W46" s="2148"/>
      <c r="X46" s="1878"/>
      <c r="Y46" s="1878"/>
      <c r="Z46" s="1056"/>
      <c r="AA46" s="1878"/>
      <c r="AB46" s="1878"/>
      <c r="AC46" s="1878"/>
      <c r="AD46" s="1878"/>
      <c r="AE46" s="1878"/>
      <c r="AF46" s="2144"/>
      <c r="AG46" s="1134"/>
      <c r="AH46" s="1134"/>
      <c r="AI46" s="1134"/>
      <c r="AJ46" s="1134"/>
      <c r="AK46" s="2153">
        <v>11</v>
      </c>
    </row>
    <row s="51564" customFormat="1" customHeight="1" ht="11.549999999999999">
      <c r="A47" s="1499"/>
      <c r="B47" s="1499"/>
      <c r="C47" s="1499"/>
      <c r="D47" s="1499"/>
      <c r="E47" s="1499"/>
      <c r="F47" s="2148"/>
      <c r="G47" s="2148"/>
      <c r="H47" s="863"/>
      <c r="N47" s="1878"/>
      <c r="P47" s="1878"/>
      <c r="Q47" s="2148"/>
      <c r="R47" s="2148"/>
      <c r="S47" s="1878"/>
      <c r="T47" s="1878"/>
      <c r="U47" s="1878"/>
      <c r="V47" s="1878"/>
      <c r="W47" s="2148"/>
      <c r="X47" s="1878"/>
      <c r="Y47" s="1878"/>
      <c r="Z47" s="1056"/>
      <c r="AA47" s="1878"/>
      <c r="AB47" s="1878"/>
      <c r="AC47" s="1878"/>
      <c r="AD47" s="1878"/>
      <c r="AE47" s="1878"/>
      <c r="AF47" s="2144"/>
      <c r="AG47" s="1134"/>
      <c r="AH47" s="1134"/>
      <c r="AI47" s="1134"/>
      <c r="AJ47" s="1134"/>
      <c r="AK47" s="2153">
        <v>11</v>
      </c>
    </row>
    <row s="51564" customFormat="1" customHeight="1" ht="11.549999999999999">
      <c r="A48" s="1499"/>
      <c r="B48" s="1499"/>
      <c r="C48" s="1499"/>
      <c r="D48" s="1499"/>
      <c r="E48" s="1499"/>
      <c r="F48" s="2148"/>
      <c r="G48" s="2148"/>
      <c r="H48" s="863"/>
      <c r="N48" s="1878"/>
      <c r="P48" s="1878"/>
      <c r="Q48" s="2148"/>
      <c r="R48" s="2148"/>
      <c r="S48" s="1878"/>
      <c r="T48" s="1878"/>
      <c r="U48" s="1878"/>
      <c r="V48" s="1878"/>
      <c r="W48" s="2148"/>
      <c r="X48" s="1878"/>
      <c r="Y48" s="1878"/>
      <c r="Z48" s="1056"/>
      <c r="AA48" s="1878"/>
      <c r="AB48" s="1878"/>
      <c r="AC48" s="1878"/>
      <c r="AD48" s="1878"/>
      <c r="AE48" s="1878"/>
      <c r="AF48" s="2144"/>
      <c r="AG48" s="1134"/>
      <c r="AH48" s="1134"/>
      <c r="AI48" s="1134"/>
      <c r="AJ48" s="1134"/>
      <c r="AK48" s="2153">
        <v>11</v>
      </c>
    </row>
    <row s="51564" customFormat="1" customHeight="1" ht="11.549999999999999">
      <c r="A49" s="1499"/>
      <c r="B49" s="1499"/>
      <c r="C49" s="1499"/>
      <c r="D49" s="1499"/>
      <c r="E49" s="1499"/>
      <c r="F49" s="2148"/>
      <c r="G49" s="2148"/>
      <c r="H49" s="863"/>
      <c r="N49" s="1878"/>
      <c r="P49" s="1878"/>
      <c r="Q49" s="2148"/>
      <c r="R49" s="2148"/>
      <c r="S49" s="1878"/>
      <c r="T49" s="1878"/>
      <c r="U49" s="1878"/>
      <c r="V49" s="1878"/>
      <c r="W49" s="2148"/>
      <c r="X49" s="1878"/>
      <c r="Y49" s="1878"/>
      <c r="Z49" s="1056"/>
      <c r="AA49" s="1878"/>
      <c r="AB49" s="1878"/>
      <c r="AC49" s="1878"/>
      <c r="AD49" s="1878"/>
      <c r="AE49" s="1878"/>
      <c r="AF49" s="2144"/>
      <c r="AG49" s="1134"/>
      <c r="AH49" s="1134"/>
      <c r="AI49" s="1134"/>
      <c r="AJ49" s="1134"/>
      <c r="AK49" s="2153">
        <v>11</v>
      </c>
    </row>
    <row s="51564" customFormat="1" customHeight="1" ht="11.549999999999999">
      <c r="A50" s="1499"/>
      <c r="B50" s="1499"/>
      <c r="C50" s="1499"/>
      <c r="D50" s="1499"/>
      <c r="E50" s="1499"/>
      <c r="F50" s="2148"/>
      <c r="G50" s="2148"/>
      <c r="H50" s="863"/>
      <c r="N50" s="1878"/>
      <c r="P50" s="1878"/>
      <c r="Q50" s="2148"/>
      <c r="R50" s="2148"/>
      <c r="S50" s="1878"/>
      <c r="T50" s="1878"/>
      <c r="U50" s="1878"/>
      <c r="V50" s="1878"/>
      <c r="W50" s="2148"/>
      <c r="X50" s="1878"/>
      <c r="Y50" s="1878"/>
      <c r="Z50" s="1056"/>
      <c r="AA50" s="1878"/>
      <c r="AB50" s="1878"/>
      <c r="AC50" s="1878"/>
      <c r="AD50" s="1878"/>
      <c r="AE50" s="1878"/>
      <c r="AF50" s="2144"/>
      <c r="AG50" s="1134"/>
      <c r="AH50" s="1134"/>
      <c r="AI50" s="1134"/>
      <c r="AJ50" s="1134"/>
      <c r="AK50" s="2153">
        <v>11</v>
      </c>
    </row>
    <row s="51564" customFormat="1" customHeight="1" ht="11.549999999999999">
      <c r="A51" s="1499"/>
      <c r="B51" s="1499"/>
      <c r="C51" s="1499"/>
      <c r="D51" s="1499"/>
      <c r="E51" s="1499"/>
      <c r="F51" s="2148"/>
      <c r="G51" s="2148"/>
      <c r="H51" s="863"/>
      <c r="N51" s="1878"/>
      <c r="P51" s="1878"/>
      <c r="Q51" s="2148"/>
      <c r="R51" s="2148"/>
      <c r="S51" s="1878"/>
      <c r="T51" s="1878"/>
      <c r="U51" s="1878"/>
      <c r="V51" s="1878"/>
      <c r="W51" s="2148"/>
      <c r="X51" s="1878"/>
      <c r="Y51" s="1878"/>
      <c r="Z51" s="1056"/>
      <c r="AA51" s="1878"/>
      <c r="AB51" s="1878"/>
      <c r="AC51" s="1878"/>
      <c r="AD51" s="1878"/>
      <c r="AE51" s="1878"/>
      <c r="AF51" s="2144"/>
      <c r="AG51" s="1134"/>
      <c r="AH51" s="1134"/>
      <c r="AI51" s="1134"/>
      <c r="AJ51" s="1134"/>
      <c r="AK51" s="2153">
        <v>11</v>
      </c>
    </row>
    <row s="51564" customFormat="1" customHeight="1" ht="11.549999999999999">
      <c r="A52" s="1499"/>
      <c r="B52" s="1499"/>
      <c r="C52" s="1499"/>
      <c r="D52" s="1499"/>
      <c r="E52" s="1499"/>
      <c r="F52" s="2148"/>
      <c r="G52" s="2148"/>
      <c r="H52" s="863"/>
      <c r="N52" s="1878"/>
      <c r="P52" s="1878"/>
      <c r="Q52" s="2148"/>
      <c r="R52" s="2148"/>
      <c r="S52" s="1878"/>
      <c r="T52" s="1878"/>
      <c r="U52" s="1878"/>
      <c r="V52" s="1878"/>
      <c r="W52" s="2148"/>
      <c r="X52" s="1878"/>
      <c r="Y52" s="1878"/>
      <c r="Z52" s="1056"/>
      <c r="AA52" s="1878"/>
      <c r="AB52" s="1878"/>
      <c r="AC52" s="1878"/>
      <c r="AD52" s="1878"/>
      <c r="AE52" s="1878"/>
      <c r="AF52" s="2144"/>
      <c r="AG52" s="1134"/>
      <c r="AH52" s="1134"/>
      <c r="AI52" s="1134"/>
      <c r="AJ52" s="1134"/>
      <c r="AK52" s="2153">
        <v>11</v>
      </c>
    </row>
    <row s="51564" customFormat="1" customHeight="1" ht="11.549999999999999">
      <c r="A53" s="1499"/>
      <c r="B53" s="1499"/>
      <c r="C53" s="1499"/>
      <c r="D53" s="1499"/>
      <c r="E53" s="1499"/>
      <c r="F53" s="2148"/>
      <c r="G53" s="2148"/>
      <c r="H53" s="863"/>
      <c r="N53" s="1878"/>
      <c r="P53" s="1878"/>
      <c r="Q53" s="2148"/>
      <c r="R53" s="2148"/>
      <c r="S53" s="1878"/>
      <c r="T53" s="1878"/>
      <c r="U53" s="1878"/>
      <c r="V53" s="1878"/>
      <c r="W53" s="2148"/>
      <c r="X53" s="1878"/>
      <c r="Y53" s="1878"/>
      <c r="Z53" s="1056"/>
      <c r="AA53" s="1878"/>
      <c r="AB53" s="1878"/>
      <c r="AC53" s="1878"/>
      <c r="AD53" s="1878"/>
      <c r="AE53" s="1878"/>
      <c r="AF53" s="2144"/>
      <c r="AG53" s="1134"/>
      <c r="AH53" s="1134"/>
      <c r="AI53" s="1134"/>
      <c r="AJ53" s="1134"/>
      <c r="AK53" s="2153">
        <v>11</v>
      </c>
    </row>
    <row s="51564" customFormat="1" customHeight="1" ht="11.549999999999999">
      <c r="A54" s="1499"/>
      <c r="B54" s="1499"/>
      <c r="C54" s="1499"/>
      <c r="D54" s="1499"/>
      <c r="E54" s="1499"/>
      <c r="F54" s="2148"/>
      <c r="G54" s="2148"/>
      <c r="H54" s="863"/>
      <c r="N54" s="1878"/>
      <c r="P54" s="1878"/>
      <c r="Q54" s="2148"/>
      <c r="R54" s="2148"/>
      <c r="S54" s="1878"/>
      <c r="T54" s="1878"/>
      <c r="U54" s="1878"/>
      <c r="V54" s="1878"/>
      <c r="W54" s="2148"/>
      <c r="X54" s="1878"/>
      <c r="Y54" s="1878"/>
      <c r="Z54" s="1056"/>
      <c r="AA54" s="1878"/>
      <c r="AB54" s="1878"/>
      <c r="AC54" s="1878"/>
      <c r="AD54" s="1878"/>
      <c r="AE54" s="1878"/>
      <c r="AF54" s="2144"/>
      <c r="AG54" s="1134"/>
      <c r="AH54" s="1134"/>
      <c r="AI54" s="1134"/>
      <c r="AJ54" s="1134"/>
      <c r="AK54" s="2153">
        <v>11</v>
      </c>
    </row>
    <row s="51564" customFormat="1" customHeight="1" ht="11.549999999999999">
      <c r="A55" s="1499"/>
      <c r="B55" s="1499"/>
      <c r="C55" s="1499"/>
      <c r="D55" s="1499"/>
      <c r="E55" s="1499"/>
      <c r="F55" s="2148"/>
      <c r="G55" s="2148"/>
      <c r="H55" s="863"/>
      <c r="N55" s="1878"/>
      <c r="P55" s="1878"/>
      <c r="Q55" s="2148"/>
      <c r="R55" s="2148"/>
      <c r="S55" s="1878"/>
      <c r="T55" s="1878"/>
      <c r="U55" s="1878"/>
      <c r="V55" s="1878"/>
      <c r="W55" s="2148"/>
      <c r="X55" s="1878"/>
      <c r="Y55" s="1878"/>
      <c r="Z55" s="1056"/>
      <c r="AA55" s="1878"/>
      <c r="AB55" s="1878"/>
      <c r="AC55" s="1878"/>
      <c r="AD55" s="1878"/>
      <c r="AE55" s="1878"/>
      <c r="AF55" s="2144"/>
      <c r="AG55" s="1134"/>
      <c r="AH55" s="1134"/>
      <c r="AI55" s="1134"/>
      <c r="AJ55" s="1134"/>
      <c r="AK55" s="2153">
        <v>11</v>
      </c>
    </row>
    <row s="51564" customFormat="1" customHeight="1" ht="11.549999999999999">
      <c r="A56" s="1499"/>
      <c r="B56" s="1499"/>
      <c r="C56" s="1499"/>
      <c r="D56" s="1499"/>
      <c r="E56" s="1499"/>
      <c r="F56" s="2148"/>
      <c r="G56" s="2148"/>
      <c r="H56" s="863"/>
      <c r="N56" s="1878"/>
      <c r="P56" s="1878"/>
      <c r="Q56" s="2148"/>
      <c r="R56" s="2148"/>
      <c r="S56" s="1878"/>
      <c r="T56" s="1878"/>
      <c r="U56" s="1878"/>
      <c r="V56" s="1878"/>
      <c r="W56" s="2148"/>
      <c r="X56" s="1878"/>
      <c r="Y56" s="1878"/>
      <c r="Z56" s="1056"/>
      <c r="AA56" s="1878"/>
      <c r="AB56" s="1878"/>
      <c r="AC56" s="1878"/>
      <c r="AD56" s="1878"/>
      <c r="AE56" s="1878"/>
      <c r="AF56" s="2144"/>
      <c r="AG56" s="1134"/>
      <c r="AH56" s="1134"/>
      <c r="AI56" s="1134"/>
      <c r="AJ56" s="1134"/>
      <c r="AK56" s="2153">
        <v>11</v>
      </c>
    </row>
    <row s="51564" customFormat="1" customHeight="1" ht="11.549999999999999">
      <c r="A57" s="1499"/>
      <c r="B57" s="1499"/>
      <c r="C57" s="1499"/>
      <c r="D57" s="1499"/>
      <c r="E57" s="1499"/>
      <c r="F57" s="2148"/>
      <c r="G57" s="2148"/>
      <c r="H57" s="863"/>
      <c r="N57" s="1878"/>
      <c r="P57" s="1878"/>
      <c r="Q57" s="2148"/>
      <c r="R57" s="2148"/>
      <c r="S57" s="1878"/>
      <c r="T57" s="1878"/>
      <c r="U57" s="1878"/>
      <c r="V57" s="1878"/>
      <c r="W57" s="2148"/>
      <c r="X57" s="1878"/>
      <c r="Y57" s="1878"/>
      <c r="Z57" s="1056"/>
      <c r="AA57" s="1878"/>
      <c r="AB57" s="1878"/>
      <c r="AC57" s="1878"/>
      <c r="AD57" s="1878"/>
      <c r="AE57" s="1878"/>
      <c r="AF57" s="2144"/>
      <c r="AG57" s="1134"/>
      <c r="AH57" s="1134"/>
      <c r="AI57" s="1134"/>
      <c r="AJ57" s="1134"/>
      <c r="AK57" s="2153">
        <v>11</v>
      </c>
    </row>
    <row s="51564" customFormat="1" customHeight="1" ht="11.549999999999999">
      <c r="A58" s="1499"/>
      <c r="B58" s="1499"/>
      <c r="C58" s="1499"/>
      <c r="D58" s="1499"/>
      <c r="E58" s="1499"/>
      <c r="F58" s="2148"/>
      <c r="G58" s="2148"/>
      <c r="H58" s="863"/>
      <c r="N58" s="1878"/>
      <c r="P58" s="1878"/>
      <c r="Q58" s="2148"/>
      <c r="R58" s="2148"/>
      <c r="S58" s="1878"/>
      <c r="T58" s="1878"/>
      <c r="U58" s="1878"/>
      <c r="V58" s="1878"/>
      <c r="W58" s="2148"/>
      <c r="X58" s="1878"/>
      <c r="Y58" s="1878"/>
      <c r="Z58" s="1056"/>
      <c r="AA58" s="1878"/>
      <c r="AB58" s="1878"/>
      <c r="AC58" s="1878"/>
      <c r="AD58" s="1878"/>
      <c r="AE58" s="1878"/>
      <c r="AF58" s="2144"/>
      <c r="AG58" s="1134"/>
      <c r="AH58" s="1134"/>
      <c r="AI58" s="1134"/>
      <c r="AJ58" s="1134"/>
      <c r="AK58" s="2153">
        <v>11</v>
      </c>
    </row>
    <row s="51564" customFormat="1" customHeight="1" ht="11.549999999999999">
      <c r="A59" s="1499"/>
      <c r="B59" s="1499"/>
      <c r="C59" s="1499"/>
      <c r="D59" s="1499"/>
      <c r="E59" s="1499"/>
      <c r="F59" s="2148"/>
      <c r="G59" s="2148"/>
      <c r="H59" s="863"/>
      <c r="N59" s="1878"/>
      <c r="P59" s="1878"/>
      <c r="Q59" s="2148"/>
      <c r="R59" s="2148"/>
      <c r="S59" s="1878"/>
      <c r="T59" s="1878"/>
      <c r="U59" s="1878"/>
      <c r="V59" s="1878"/>
      <c r="W59" s="2148"/>
      <c r="X59" s="1878"/>
      <c r="Y59" s="1878"/>
      <c r="Z59" s="1056"/>
      <c r="AA59" s="1878"/>
      <c r="AB59" s="1878"/>
      <c r="AC59" s="1878"/>
      <c r="AD59" s="1878"/>
      <c r="AE59" s="1878"/>
      <c r="AF59" s="2144"/>
      <c r="AG59" s="1134"/>
      <c r="AH59" s="1134"/>
      <c r="AI59" s="1134"/>
      <c r="AJ59" s="1134"/>
      <c r="AK59" s="2153">
        <v>11</v>
      </c>
    </row>
    <row s="51564" customFormat="1" customHeight="1" ht="11.549999999999999">
      <c r="A60" s="1499"/>
      <c r="B60" s="1499"/>
      <c r="C60" s="1499"/>
      <c r="D60" s="1499"/>
      <c r="E60" s="1499"/>
      <c r="F60" s="2148"/>
      <c r="G60" s="2148"/>
      <c r="H60" s="863"/>
      <c r="N60" s="1878"/>
      <c r="P60" s="1878"/>
      <c r="Q60" s="2148"/>
      <c r="R60" s="2148"/>
      <c r="S60" s="1878"/>
      <c r="T60" s="1878"/>
      <c r="U60" s="1878"/>
      <c r="V60" s="1878"/>
      <c r="W60" s="2148"/>
      <c r="X60" s="1878"/>
      <c r="Y60" s="1878"/>
      <c r="Z60" s="1056"/>
      <c r="AA60" s="1878"/>
      <c r="AB60" s="1878"/>
      <c r="AC60" s="1878"/>
      <c r="AD60" s="1878"/>
      <c r="AE60" s="1878"/>
      <c r="AF60" s="2144"/>
      <c r="AG60" s="1134"/>
      <c r="AH60" s="1134"/>
      <c r="AI60" s="1134"/>
      <c r="AJ60" s="1134"/>
      <c r="AK60" s="2153">
        <v>11</v>
      </c>
    </row>
    <row s="51564" customFormat="1" customHeight="1" ht="11.549999999999999">
      <c r="A61" s="1499"/>
      <c r="B61" s="1499"/>
      <c r="C61" s="1499"/>
      <c r="D61" s="1499"/>
      <c r="E61" s="1499"/>
      <c r="F61" s="2148"/>
      <c r="G61" s="2148"/>
      <c r="H61" s="863"/>
      <c r="N61" s="1878"/>
      <c r="P61" s="1878"/>
      <c r="Q61" s="2148"/>
      <c r="R61" s="2148"/>
      <c r="S61" s="1878"/>
      <c r="T61" s="1878"/>
      <c r="U61" s="1878"/>
      <c r="V61" s="1878"/>
      <c r="W61" s="2148"/>
      <c r="X61" s="1878"/>
      <c r="Y61" s="1878"/>
      <c r="Z61" s="1056"/>
      <c r="AA61" s="1878"/>
      <c r="AB61" s="1878"/>
      <c r="AC61" s="1878"/>
      <c r="AD61" s="1878"/>
      <c r="AE61" s="1878"/>
      <c r="AF61" s="2144"/>
      <c r="AG61" s="1134"/>
      <c r="AH61" s="1134"/>
      <c r="AI61" s="1134"/>
      <c r="AJ61" s="1134"/>
      <c r="AK61" s="2153">
        <v>11</v>
      </c>
    </row>
    <row s="51564" customFormat="1" customHeight="1" ht="11.549999999999999">
      <c r="A62" s="1499"/>
      <c r="B62" s="1499"/>
      <c r="C62" s="1499"/>
      <c r="D62" s="1499"/>
      <c r="E62" s="1499"/>
      <c r="F62" s="2148"/>
      <c r="G62" s="2148"/>
      <c r="H62" s="863"/>
      <c r="N62" s="1878"/>
      <c r="P62" s="1878"/>
      <c r="Q62" s="2148"/>
      <c r="R62" s="2148"/>
      <c r="S62" s="1878"/>
      <c r="T62" s="1878"/>
      <c r="U62" s="1878"/>
      <c r="V62" s="1878"/>
      <c r="W62" s="2148"/>
      <c r="X62" s="1878"/>
      <c r="Y62" s="1878"/>
      <c r="Z62" s="1056"/>
      <c r="AA62" s="1878"/>
      <c r="AB62" s="1878"/>
      <c r="AC62" s="1878"/>
      <c r="AD62" s="1878"/>
      <c r="AE62" s="1878"/>
      <c r="AF62" s="2144"/>
      <c r="AG62" s="1134"/>
      <c r="AH62" s="1134"/>
      <c r="AI62" s="1134"/>
      <c r="AJ62" s="1134"/>
      <c r="AK62" s="2153">
        <v>11</v>
      </c>
    </row>
    <row s="51564" customFormat="1" customHeight="1" ht="11.549999999999999">
      <c r="A63" s="1499"/>
      <c r="B63" s="1499"/>
      <c r="C63" s="1499"/>
      <c r="D63" s="1499"/>
      <c r="E63" s="1499"/>
      <c r="F63" s="2148"/>
      <c r="G63" s="2148"/>
      <c r="H63" s="863"/>
      <c r="N63" s="1878"/>
      <c r="P63" s="1878"/>
      <c r="Q63" s="2148"/>
      <c r="R63" s="2148"/>
      <c r="S63" s="1878"/>
      <c r="T63" s="1878"/>
      <c r="U63" s="1878"/>
      <c r="V63" s="1878"/>
      <c r="W63" s="2148"/>
      <c r="X63" s="1878"/>
      <c r="Y63" s="1878"/>
      <c r="Z63" s="1056"/>
      <c r="AA63" s="1878"/>
      <c r="AB63" s="1878"/>
      <c r="AC63" s="1878"/>
      <c r="AD63" s="1878"/>
      <c r="AE63" s="1878"/>
      <c r="AF63" s="2144"/>
      <c r="AG63" s="1134"/>
      <c r="AH63" s="1134"/>
      <c r="AI63" s="1134"/>
      <c r="AJ63" s="1134"/>
      <c r="AK63" s="2153">
        <v>11</v>
      </c>
    </row>
    <row s="51564" customFormat="1" customHeight="1" ht="11.549999999999999">
      <c r="A64" s="1499"/>
      <c r="B64" s="1499"/>
      <c r="C64" s="1499"/>
      <c r="D64" s="1499"/>
      <c r="E64" s="1499"/>
      <c r="F64" s="2148"/>
      <c r="G64" s="2148"/>
      <c r="H64" s="863"/>
      <c r="N64" s="1878"/>
      <c r="P64" s="1878"/>
      <c r="Q64" s="2148"/>
      <c r="R64" s="2148"/>
      <c r="S64" s="1878"/>
      <c r="T64" s="1878"/>
      <c r="U64" s="1878"/>
      <c r="V64" s="1878"/>
      <c r="W64" s="2148"/>
      <c r="X64" s="1878"/>
      <c r="Y64" s="1878"/>
      <c r="Z64" s="1056"/>
      <c r="AA64" s="1878"/>
      <c r="AB64" s="1878"/>
      <c r="AC64" s="1878"/>
      <c r="AD64" s="1878"/>
      <c r="AE64" s="1878"/>
      <c r="AF64" s="2144"/>
      <c r="AG64" s="1134"/>
      <c r="AH64" s="1134"/>
      <c r="AI64" s="1134"/>
      <c r="AJ64" s="1134"/>
      <c r="AK64" s="2153">
        <v>11</v>
      </c>
    </row>
    <row s="51564" customFormat="1" customHeight="1" ht="11.549999999999999">
      <c r="A65" s="1499"/>
      <c r="B65" s="1499"/>
      <c r="C65" s="1499"/>
      <c r="D65" s="1499"/>
      <c r="E65" s="1499"/>
      <c r="F65" s="2148"/>
      <c r="G65" s="2148"/>
      <c r="H65" s="863"/>
      <c r="N65" s="1878"/>
      <c r="P65" s="1878"/>
      <c r="Q65" s="2148"/>
      <c r="R65" s="2148"/>
      <c r="S65" s="1878"/>
      <c r="T65" s="1878"/>
      <c r="U65" s="1878"/>
      <c r="V65" s="1878"/>
      <c r="W65" s="2148"/>
      <c r="X65" s="1878"/>
      <c r="Y65" s="1878"/>
      <c r="Z65" s="1056"/>
      <c r="AA65" s="1878"/>
      <c r="AB65" s="1878"/>
      <c r="AC65" s="1878"/>
      <c r="AD65" s="1878"/>
      <c r="AE65" s="1878"/>
      <c r="AF65" s="2144"/>
      <c r="AG65" s="1134"/>
      <c r="AH65" s="1134"/>
      <c r="AI65" s="1134"/>
      <c r="AJ65" s="1134"/>
      <c r="AK65" s="2153">
        <v>11</v>
      </c>
    </row>
    <row s="51564" customFormat="1" customHeight="1" ht="11.549999999999999">
      <c r="A66" s="1499"/>
      <c r="B66" s="1499"/>
      <c r="C66" s="1499"/>
      <c r="D66" s="1499"/>
      <c r="E66" s="1499"/>
      <c r="F66" s="2148"/>
      <c r="G66" s="2148"/>
      <c r="H66" s="863"/>
      <c r="N66" s="1878"/>
      <c r="P66" s="1878"/>
      <c r="Q66" s="2148"/>
      <c r="R66" s="2148"/>
      <c r="S66" s="1878"/>
      <c r="T66" s="1878"/>
      <c r="U66" s="1878"/>
      <c r="V66" s="1878"/>
      <c r="W66" s="2148"/>
      <c r="X66" s="1878"/>
      <c r="Y66" s="1878"/>
      <c r="Z66" s="1056"/>
      <c r="AA66" s="1878"/>
      <c r="AB66" s="1878"/>
      <c r="AC66" s="1878"/>
      <c r="AD66" s="1878"/>
      <c r="AE66" s="1878"/>
      <c r="AF66" s="2144"/>
      <c r="AG66" s="1134"/>
      <c r="AH66" s="1134"/>
      <c r="AI66" s="1134"/>
      <c r="AJ66" s="1134"/>
      <c r="AK66" s="2153">
        <v>11</v>
      </c>
    </row>
    <row s="51564" customFormat="1" customHeight="1" ht="11.549999999999999">
      <c r="A67" s="1499"/>
      <c r="B67" s="1499"/>
      <c r="C67" s="1499"/>
      <c r="D67" s="1499"/>
      <c r="E67" s="1499"/>
      <c r="F67" s="2148"/>
      <c r="G67" s="2148"/>
      <c r="H67" s="863"/>
      <c r="N67" s="1878"/>
      <c r="P67" s="1878"/>
      <c r="Q67" s="2148"/>
      <c r="R67" s="2148"/>
      <c r="S67" s="1878"/>
      <c r="T67" s="1878"/>
      <c r="U67" s="1878"/>
      <c r="V67" s="1878"/>
      <c r="W67" s="2148"/>
      <c r="X67" s="1878"/>
      <c r="Y67" s="1878"/>
      <c r="Z67" s="1056"/>
      <c r="AA67" s="1878"/>
      <c r="AB67" s="1878"/>
      <c r="AC67" s="1878"/>
      <c r="AD67" s="1878"/>
      <c r="AE67" s="1878"/>
      <c r="AF67" s="2144"/>
      <c r="AG67" s="1134"/>
      <c r="AH67" s="1134"/>
      <c r="AI67" s="1134"/>
      <c r="AJ67" s="1134"/>
      <c r="AK67" s="2153">
        <v>11</v>
      </c>
    </row>
    <row s="51564" customFormat="1" customHeight="1" ht="11.549999999999999">
      <c r="A68" s="1499"/>
      <c r="B68" s="1499"/>
      <c r="C68" s="1499"/>
      <c r="D68" s="1499"/>
      <c r="E68" s="1499"/>
      <c r="F68" s="2148"/>
      <c r="G68" s="2148"/>
      <c r="H68" s="863"/>
      <c r="N68" s="1878"/>
      <c r="P68" s="1878"/>
      <c r="Q68" s="2148"/>
      <c r="R68" s="2148"/>
      <c r="S68" s="1878"/>
      <c r="T68" s="1878"/>
      <c r="U68" s="1878"/>
      <c r="V68" s="1878"/>
      <c r="W68" s="2148"/>
      <c r="X68" s="1878"/>
      <c r="Y68" s="1878"/>
      <c r="Z68" s="1056"/>
      <c r="AA68" s="1878"/>
      <c r="AB68" s="1878"/>
      <c r="AC68" s="1878"/>
      <c r="AD68" s="1878"/>
      <c r="AE68" s="1878"/>
      <c r="AF68" s="2144"/>
      <c r="AG68" s="1134"/>
      <c r="AH68" s="1134"/>
      <c r="AI68" s="1134"/>
      <c r="AJ68" s="1134"/>
      <c r="AK68" s="2153">
        <v>11</v>
      </c>
    </row>
    <row s="51564" customFormat="1" customHeight="1" ht="11.549999999999999">
      <c r="A69" s="1499"/>
      <c r="B69" s="1499"/>
      <c r="C69" s="1499"/>
      <c r="D69" s="1499"/>
      <c r="E69" s="1499"/>
      <c r="F69" s="2148"/>
      <c r="G69" s="2148"/>
      <c r="H69" s="863"/>
      <c r="N69" s="1878"/>
      <c r="P69" s="1878"/>
      <c r="Q69" s="2148"/>
      <c r="R69" s="2148"/>
      <c r="S69" s="1878"/>
      <c r="T69" s="1878"/>
      <c r="U69" s="1878"/>
      <c r="V69" s="1878"/>
      <c r="W69" s="2148"/>
      <c r="X69" s="1878"/>
      <c r="Y69" s="1878"/>
      <c r="Z69" s="1056"/>
      <c r="AA69" s="1878"/>
      <c r="AB69" s="1878"/>
      <c r="AC69" s="1878"/>
      <c r="AD69" s="1878"/>
      <c r="AE69" s="1878"/>
      <c r="AF69" s="2144"/>
      <c r="AG69" s="1134"/>
      <c r="AH69" s="1134"/>
      <c r="AI69" s="1134"/>
      <c r="AJ69" s="1134"/>
      <c r="AK69" s="2153">
        <v>11</v>
      </c>
    </row>
    <row s="51564" customFormat="1" customHeight="1" ht="11.549999999999999">
      <c r="A70" s="1499"/>
      <c r="B70" s="1499"/>
      <c r="C70" s="1499"/>
      <c r="D70" s="1499"/>
      <c r="E70" s="1499"/>
      <c r="F70" s="2148"/>
      <c r="G70" s="2148"/>
      <c r="H70" s="863"/>
      <c r="N70" s="1878"/>
      <c r="P70" s="1878"/>
      <c r="Q70" s="2148"/>
      <c r="R70" s="2148"/>
      <c r="S70" s="1878"/>
      <c r="T70" s="1878"/>
      <c r="U70" s="1878"/>
      <c r="V70" s="1878"/>
      <c r="W70" s="2148"/>
      <c r="X70" s="1878"/>
      <c r="Y70" s="1878"/>
      <c r="Z70" s="1056"/>
      <c r="AA70" s="1878"/>
      <c r="AB70" s="1878"/>
      <c r="AC70" s="1878"/>
      <c r="AD70" s="1878"/>
      <c r="AE70" s="1878"/>
      <c r="AF70" s="2144"/>
      <c r="AG70" s="1134"/>
      <c r="AH70" s="1134"/>
      <c r="AI70" s="1134"/>
      <c r="AJ70" s="1134"/>
      <c r="AK70" s="2153">
        <v>11</v>
      </c>
    </row>
    <row s="51564" customFormat="1" customHeight="1" ht="11.549999999999999">
      <c r="A71" s="1499"/>
      <c r="B71" s="1499"/>
      <c r="C71" s="1499"/>
      <c r="D71" s="1499"/>
      <c r="E71" s="1499"/>
      <c r="F71" s="2148"/>
      <c r="G71" s="2148"/>
      <c r="H71" s="863"/>
      <c r="N71" s="1878"/>
      <c r="P71" s="1878"/>
      <c r="Q71" s="2148"/>
      <c r="R71" s="2148"/>
      <c r="S71" s="1878"/>
      <c r="T71" s="1878"/>
      <c r="U71" s="1878"/>
      <c r="V71" s="1878"/>
      <c r="W71" s="2148"/>
      <c r="X71" s="1878"/>
      <c r="Y71" s="1878"/>
      <c r="Z71" s="1056"/>
      <c r="AA71" s="1878"/>
      <c r="AB71" s="1878"/>
      <c r="AC71" s="1878"/>
      <c r="AD71" s="1878"/>
      <c r="AE71" s="1878"/>
      <c r="AF71" s="2144"/>
      <c r="AG71" s="1134"/>
      <c r="AH71" s="1134"/>
      <c r="AI71" s="1134"/>
      <c r="AJ71" s="1134"/>
      <c r="AK71" s="2153">
        <v>11</v>
      </c>
    </row>
    <row s="51564" customFormat="1" customHeight="1" ht="11.549999999999999">
      <c r="A72" s="1499"/>
      <c r="B72" s="1499"/>
      <c r="C72" s="1499"/>
      <c r="D72" s="1499"/>
      <c r="E72" s="1499"/>
      <c r="F72" s="2148"/>
      <c r="G72" s="2148"/>
      <c r="H72" s="863"/>
      <c r="N72" s="1878"/>
      <c r="P72" s="1878"/>
      <c r="Q72" s="2148"/>
      <c r="R72" s="2148"/>
      <c r="S72" s="1878"/>
      <c r="T72" s="1878"/>
      <c r="U72" s="1878"/>
      <c r="V72" s="1878"/>
      <c r="W72" s="2148"/>
      <c r="X72" s="1878"/>
      <c r="Y72" s="1878"/>
      <c r="Z72" s="1056"/>
      <c r="AA72" s="1878"/>
      <c r="AB72" s="1878"/>
      <c r="AC72" s="1878"/>
      <c r="AD72" s="1878"/>
      <c r="AE72" s="1878"/>
      <c r="AF72" s="2144"/>
      <c r="AG72" s="1134"/>
      <c r="AH72" s="1134"/>
      <c r="AI72" s="1134"/>
      <c r="AJ72" s="1134"/>
      <c r="AK72" s="2153">
        <v>11</v>
      </c>
    </row>
    <row s="51564" customFormat="1" customHeight="1" ht="11.549999999999999">
      <c r="A73" s="1499"/>
      <c r="B73" s="1499"/>
      <c r="C73" s="1499"/>
      <c r="D73" s="1499"/>
      <c r="E73" s="1499"/>
      <c r="F73" s="2148"/>
      <c r="G73" s="2148"/>
      <c r="H73" s="863"/>
      <c r="N73" s="1878"/>
      <c r="P73" s="1878"/>
      <c r="Q73" s="2148"/>
      <c r="R73" s="2148"/>
      <c r="S73" s="1878"/>
      <c r="T73" s="1878"/>
      <c r="U73" s="1878"/>
      <c r="V73" s="1878"/>
      <c r="W73" s="2148"/>
      <c r="X73" s="1878"/>
      <c r="Y73" s="1878"/>
      <c r="Z73" s="1056"/>
      <c r="AA73" s="1878"/>
      <c r="AB73" s="1878"/>
      <c r="AC73" s="1878"/>
      <c r="AD73" s="1878"/>
      <c r="AE73" s="1878"/>
      <c r="AF73" s="2144"/>
      <c r="AG73" s="1134"/>
      <c r="AH73" s="1134"/>
      <c r="AI73" s="1134"/>
      <c r="AJ73" s="1134"/>
      <c r="AK73" s="2153">
        <v>11</v>
      </c>
    </row>
    <row s="51564" customFormat="1" customHeight="1" ht="11.549999999999999">
      <c r="A74" s="1499"/>
      <c r="B74" s="1499"/>
      <c r="C74" s="1499"/>
      <c r="D74" s="1499"/>
      <c r="E74" s="1499"/>
      <c r="F74" s="2148"/>
      <c r="G74" s="2148"/>
      <c r="H74" s="863"/>
      <c r="N74" s="1878"/>
      <c r="P74" s="1878"/>
      <c r="Q74" s="2148"/>
      <c r="R74" s="2148"/>
      <c r="S74" s="1878"/>
      <c r="T74" s="1878"/>
      <c r="U74" s="1878"/>
      <c r="V74" s="1878"/>
      <c r="W74" s="2148"/>
      <c r="X74" s="1878"/>
      <c r="Y74" s="1878"/>
      <c r="Z74" s="1056"/>
      <c r="AA74" s="1878"/>
      <c r="AB74" s="1878"/>
      <c r="AC74" s="1878"/>
      <c r="AD74" s="1878"/>
      <c r="AE74" s="1878"/>
      <c r="AF74" s="2144"/>
      <c r="AG74" s="1134"/>
      <c r="AH74" s="1134"/>
      <c r="AI74" s="1134"/>
      <c r="AJ74" s="1134"/>
      <c r="AK74" s="2153">
        <v>11</v>
      </c>
    </row>
    <row s="51564" customFormat="1" customHeight="1" ht="11.549999999999999">
      <c r="A75" s="1499"/>
      <c r="B75" s="1499"/>
      <c r="C75" s="1499"/>
      <c r="D75" s="1499"/>
      <c r="E75" s="1499"/>
      <c r="F75" s="2148"/>
      <c r="G75" s="2148"/>
      <c r="H75" s="863"/>
      <c r="N75" s="1878"/>
      <c r="P75" s="1878"/>
      <c r="Q75" s="2148"/>
      <c r="R75" s="2148"/>
      <c r="S75" s="1878"/>
      <c r="T75" s="1878"/>
      <c r="U75" s="1878"/>
      <c r="V75" s="1878"/>
      <c r="W75" s="2148"/>
      <c r="X75" s="1878"/>
      <c r="Y75" s="1878"/>
      <c r="Z75" s="1056"/>
      <c r="AA75" s="1878"/>
      <c r="AB75" s="1878"/>
      <c r="AC75" s="1878"/>
      <c r="AD75" s="1878"/>
      <c r="AE75" s="1878"/>
      <c r="AF75" s="2144"/>
      <c r="AG75" s="1134"/>
      <c r="AH75" s="1134"/>
      <c r="AI75" s="1134"/>
      <c r="AJ75" s="1134"/>
      <c r="AK75" s="2153">
        <v>11</v>
      </c>
    </row>
    <row s="51564" customFormat="1" customHeight="1" ht="11.549999999999999">
      <c r="A76" s="1499"/>
      <c r="B76" s="1499"/>
      <c r="C76" s="1499"/>
      <c r="D76" s="1499"/>
      <c r="E76" s="1499"/>
      <c r="F76" s="2148"/>
      <c r="G76" s="2148"/>
      <c r="H76" s="863"/>
      <c r="N76" s="1878"/>
      <c r="P76" s="1878"/>
      <c r="Q76" s="2148"/>
      <c r="R76" s="2148"/>
      <c r="S76" s="1878"/>
      <c r="T76" s="1878"/>
      <c r="U76" s="1878"/>
      <c r="V76" s="1878"/>
      <c r="W76" s="2148"/>
      <c r="X76" s="1878"/>
      <c r="Y76" s="1878"/>
      <c r="Z76" s="1056"/>
      <c r="AA76" s="1878"/>
      <c r="AB76" s="1878"/>
      <c r="AC76" s="1878"/>
      <c r="AD76" s="1878"/>
      <c r="AE76" s="1878"/>
      <c r="AF76" s="2144"/>
      <c r="AG76" s="1134"/>
      <c r="AH76" s="1134"/>
      <c r="AI76" s="1134"/>
      <c r="AJ76" s="1134"/>
      <c r="AK76" s="2153">
        <v>11</v>
      </c>
    </row>
    <row s="51564" customFormat="1" customHeight="1" ht="11.549999999999999">
      <c r="A77" s="1499"/>
      <c r="B77" s="1499"/>
      <c r="C77" s="1499"/>
      <c r="D77" s="1499"/>
      <c r="E77" s="1499"/>
      <c r="F77" s="2148"/>
      <c r="G77" s="2148"/>
      <c r="H77" s="863"/>
      <c r="N77" s="1878"/>
      <c r="P77" s="1878"/>
      <c r="Q77" s="2148"/>
      <c r="R77" s="2148"/>
      <c r="S77" s="1878"/>
      <c r="T77" s="1878"/>
      <c r="U77" s="1878"/>
      <c r="V77" s="1878"/>
      <c r="W77" s="2148"/>
      <c r="X77" s="1878"/>
      <c r="Y77" s="1878"/>
      <c r="Z77" s="1056"/>
      <c r="AA77" s="1878"/>
      <c r="AB77" s="1878"/>
      <c r="AC77" s="1878"/>
      <c r="AD77" s="1878"/>
      <c r="AE77" s="1878"/>
      <c r="AF77" s="2144"/>
      <c r="AG77" s="1134"/>
      <c r="AH77" s="1134"/>
      <c r="AI77" s="1134"/>
      <c r="AJ77" s="1134"/>
      <c r="AK77" s="2153">
        <v>11</v>
      </c>
    </row>
    <row s="51564" customFormat="1" customHeight="1" ht="11.549999999999999">
      <c r="A78" s="1499"/>
      <c r="B78" s="1499"/>
      <c r="C78" s="1499"/>
      <c r="D78" s="1499"/>
      <c r="E78" s="1499"/>
      <c r="F78" s="2148"/>
      <c r="G78" s="2148"/>
      <c r="H78" s="863"/>
      <c r="N78" s="1878"/>
      <c r="P78" s="1878"/>
      <c r="Q78" s="2148"/>
      <c r="R78" s="2148"/>
      <c r="S78" s="1878"/>
      <c r="T78" s="1878"/>
      <c r="U78" s="1878"/>
      <c r="V78" s="1878"/>
      <c r="W78" s="2148"/>
      <c r="X78" s="1878"/>
      <c r="Y78" s="1878"/>
      <c r="Z78" s="1056"/>
      <c r="AA78" s="1878"/>
      <c r="AB78" s="1878"/>
      <c r="AC78" s="1878"/>
      <c r="AD78" s="1878"/>
      <c r="AE78" s="1878"/>
      <c r="AF78" s="2144"/>
      <c r="AG78" s="1134"/>
      <c r="AH78" s="1134"/>
      <c r="AI78" s="1134"/>
      <c r="AJ78" s="1134"/>
      <c r="AK78" s="2153">
        <v>11</v>
      </c>
    </row>
    <row s="51564" customFormat="1" customHeight="1" ht="11.549999999999999">
      <c r="A79" s="1499"/>
      <c r="B79" s="1499"/>
      <c r="C79" s="1499"/>
      <c r="D79" s="1499"/>
      <c r="E79" s="1499"/>
      <c r="F79" s="2148"/>
      <c r="G79" s="2148"/>
      <c r="H79" s="863"/>
      <c r="N79" s="1878"/>
      <c r="P79" s="1878"/>
      <c r="Q79" s="2148"/>
      <c r="R79" s="2148"/>
      <c r="S79" s="1878"/>
      <c r="T79" s="1878"/>
      <c r="U79" s="1878"/>
      <c r="V79" s="1878"/>
      <c r="W79" s="2148"/>
      <c r="X79" s="1878"/>
      <c r="Y79" s="1878"/>
      <c r="Z79" s="1056"/>
      <c r="AA79" s="1878"/>
      <c r="AB79" s="1878"/>
      <c r="AC79" s="1878"/>
      <c r="AD79" s="1878"/>
      <c r="AE79" s="1878"/>
      <c r="AF79" s="2144"/>
      <c r="AG79" s="1134"/>
      <c r="AH79" s="1134"/>
      <c r="AI79" s="1134"/>
      <c r="AJ79" s="1134"/>
      <c r="AK79" s="2153">
        <v>11</v>
      </c>
    </row>
    <row s="51564" customFormat="1" customHeight="1" ht="11.549999999999999">
      <c r="A80" s="1499"/>
      <c r="B80" s="1499"/>
      <c r="C80" s="1499"/>
      <c r="D80" s="1499"/>
      <c r="E80" s="1499"/>
      <c r="F80" s="2148"/>
      <c r="G80" s="2148"/>
      <c r="H80" s="863"/>
      <c r="N80" s="1878"/>
      <c r="P80" s="1878"/>
      <c r="Q80" s="2148"/>
      <c r="R80" s="2148"/>
      <c r="S80" s="1878"/>
      <c r="T80" s="1878"/>
      <c r="U80" s="1878"/>
      <c r="V80" s="1878"/>
      <c r="W80" s="2148"/>
      <c r="X80" s="1878"/>
      <c r="Y80" s="1878"/>
      <c r="Z80" s="1056"/>
      <c r="AA80" s="1878"/>
      <c r="AB80" s="1878"/>
      <c r="AC80" s="1878"/>
      <c r="AD80" s="1878"/>
      <c r="AE80" s="1878"/>
      <c r="AF80" s="2144"/>
      <c r="AG80" s="1134"/>
      <c r="AH80" s="1134"/>
      <c r="AI80" s="1134"/>
      <c r="AJ80" s="1134"/>
      <c r="AK80" s="2153">
        <v>11</v>
      </c>
    </row>
    <row s="51564" customFormat="1" customHeight="1" ht="11.549999999999999">
      <c r="A81" s="1499"/>
      <c r="B81" s="1499"/>
      <c r="C81" s="1499"/>
      <c r="D81" s="1499"/>
      <c r="E81" s="1499"/>
      <c r="F81" s="2148"/>
      <c r="G81" s="2148"/>
      <c r="H81" s="863"/>
      <c r="N81" s="1878"/>
      <c r="P81" s="1878"/>
      <c r="Q81" s="2148"/>
      <c r="R81" s="2148"/>
      <c r="S81" s="1878"/>
      <c r="T81" s="1878"/>
      <c r="U81" s="1878"/>
      <c r="V81" s="1878"/>
      <c r="W81" s="2148"/>
      <c r="X81" s="1878"/>
      <c r="Y81" s="1878"/>
      <c r="Z81" s="1056"/>
      <c r="AA81" s="1878"/>
      <c r="AB81" s="1878"/>
      <c r="AC81" s="1878"/>
      <c r="AD81" s="1878"/>
      <c r="AE81" s="1878"/>
      <c r="AF81" s="2144"/>
      <c r="AG81" s="1134"/>
      <c r="AH81" s="1134"/>
      <c r="AI81" s="1134"/>
      <c r="AJ81" s="1134"/>
      <c r="AK81" s="2153">
        <v>11</v>
      </c>
    </row>
    <row s="51564" customFormat="1" customHeight="1" ht="11.549999999999999">
      <c r="A82" s="1499"/>
      <c r="B82" s="1499"/>
      <c r="C82" s="1499"/>
      <c r="D82" s="1499"/>
      <c r="E82" s="1499"/>
      <c r="F82" s="2148"/>
      <c r="G82" s="2148"/>
      <c r="H82" s="863"/>
      <c r="N82" s="1878"/>
      <c r="P82" s="1878"/>
      <c r="Q82" s="2148"/>
      <c r="R82" s="2148"/>
      <c r="S82" s="1878"/>
      <c r="T82" s="1878"/>
      <c r="U82" s="1878"/>
      <c r="V82" s="1878"/>
      <c r="W82" s="2148"/>
      <c r="X82" s="1878"/>
      <c r="Y82" s="1878"/>
      <c r="Z82" s="1056"/>
      <c r="AA82" s="1878"/>
      <c r="AB82" s="1878"/>
      <c r="AC82" s="1878"/>
      <c r="AD82" s="1878"/>
      <c r="AE82" s="1878"/>
      <c r="AF82" s="2144"/>
      <c r="AG82" s="1134"/>
      <c r="AH82" s="1134"/>
      <c r="AI82" s="1134"/>
      <c r="AJ82" s="1134"/>
      <c r="AK82" s="2153">
        <v>11</v>
      </c>
    </row>
    <row s="51564" customFormat="1" customHeight="1" ht="11.549999999999999">
      <c r="A83" s="1499"/>
      <c r="B83" s="1499"/>
      <c r="C83" s="1499"/>
      <c r="D83" s="1499"/>
      <c r="E83" s="1499"/>
      <c r="F83" s="2148"/>
      <c r="G83" s="2148"/>
      <c r="H83" s="863"/>
      <c r="N83" s="1878"/>
      <c r="P83" s="1878"/>
      <c r="Q83" s="2148"/>
      <c r="R83" s="2148"/>
      <c r="S83" s="1878"/>
      <c r="T83" s="1878"/>
      <c r="U83" s="1878"/>
      <c r="V83" s="1878"/>
      <c r="W83" s="2148"/>
      <c r="X83" s="1878"/>
      <c r="Y83" s="1878"/>
      <c r="Z83" s="1056"/>
      <c r="AA83" s="1878"/>
      <c r="AB83" s="1878"/>
      <c r="AC83" s="1878"/>
      <c r="AD83" s="1878"/>
      <c r="AE83" s="1878"/>
      <c r="AF83" s="2144"/>
      <c r="AG83" s="1134"/>
      <c r="AH83" s="1134"/>
      <c r="AI83" s="1134"/>
      <c r="AJ83" s="1134"/>
      <c r="AK83" s="2153">
        <v>11</v>
      </c>
    </row>
    <row s="51564" customFormat="1" customHeight="1" ht="11.549999999999999">
      <c r="A84" s="1499"/>
      <c r="B84" s="1499"/>
      <c r="C84" s="1499"/>
      <c r="D84" s="1499"/>
      <c r="E84" s="1499"/>
      <c r="F84" s="2148"/>
      <c r="G84" s="2148"/>
      <c r="H84" s="863"/>
      <c r="N84" s="1878"/>
      <c r="P84" s="1878"/>
      <c r="Q84" s="2148"/>
      <c r="R84" s="2148"/>
      <c r="S84" s="1878"/>
      <c r="T84" s="1878"/>
      <c r="U84" s="1878"/>
      <c r="V84" s="1878"/>
      <c r="W84" s="2148"/>
      <c r="X84" s="1878"/>
      <c r="Y84" s="1878"/>
      <c r="Z84" s="1056"/>
      <c r="AA84" s="1878"/>
      <c r="AB84" s="1878"/>
      <c r="AC84" s="1878"/>
      <c r="AD84" s="1878"/>
      <c r="AE84" s="1878"/>
      <c r="AF84" s="2144"/>
      <c r="AG84" s="1134"/>
      <c r="AH84" s="1134"/>
      <c r="AI84" s="1134"/>
      <c r="AJ84" s="1134"/>
      <c r="AK84" s="2153">
        <v>11</v>
      </c>
    </row>
    <row s="51564" customFormat="1" customHeight="1" ht="11.549999999999999">
      <c r="A85" s="1499"/>
      <c r="B85" s="1499"/>
      <c r="C85" s="1499"/>
      <c r="D85" s="1499"/>
      <c r="E85" s="1499"/>
      <c r="F85" s="2148"/>
      <c r="G85" s="2148"/>
      <c r="H85" s="863"/>
      <c r="N85" s="1878"/>
      <c r="P85" s="1878"/>
      <c r="Q85" s="2148"/>
      <c r="R85" s="2148"/>
      <c r="S85" s="1878"/>
      <c r="T85" s="1878"/>
      <c r="U85" s="1878"/>
      <c r="V85" s="1878"/>
      <c r="W85" s="2148"/>
      <c r="X85" s="1878"/>
      <c r="Y85" s="1878"/>
      <c r="Z85" s="1056"/>
      <c r="AA85" s="1878"/>
      <c r="AB85" s="1878"/>
      <c r="AC85" s="1878"/>
      <c r="AD85" s="1878"/>
      <c r="AE85" s="1878"/>
      <c r="AF85" s="2144"/>
      <c r="AG85" s="1134"/>
      <c r="AH85" s="1134"/>
      <c r="AI85" s="1134"/>
      <c r="AJ85" s="1134"/>
      <c r="AK85" s="2153">
        <v>11</v>
      </c>
    </row>
    <row s="51564" customFormat="1" customHeight="1" ht="11.549999999999999">
      <c r="A86" s="1499"/>
      <c r="B86" s="1499"/>
      <c r="C86" s="1499"/>
      <c r="D86" s="1499"/>
      <c r="E86" s="1499"/>
      <c r="F86" s="2148"/>
      <c r="G86" s="2148"/>
      <c r="H86" s="863"/>
      <c r="N86" s="1878"/>
      <c r="P86" s="1878"/>
      <c r="Q86" s="2148"/>
      <c r="R86" s="2148"/>
      <c r="S86" s="1878"/>
      <c r="T86" s="1878"/>
      <c r="U86" s="1878"/>
      <c r="V86" s="1878"/>
      <c r="W86" s="2148"/>
      <c r="X86" s="1878"/>
      <c r="Y86" s="1878"/>
      <c r="Z86" s="1056"/>
      <c r="AA86" s="1878"/>
      <c r="AB86" s="1878"/>
      <c r="AC86" s="1878"/>
      <c r="AD86" s="1878"/>
      <c r="AE86" s="1878"/>
      <c r="AF86" s="2144"/>
      <c r="AG86" s="1134"/>
      <c r="AH86" s="1134"/>
      <c r="AI86" s="1134"/>
      <c r="AJ86" s="1134"/>
      <c r="AK86" s="2153">
        <v>11</v>
      </c>
    </row>
    <row s="51564" customFormat="1" customHeight="1" ht="11.549999999999999">
      <c r="A87" s="1499"/>
      <c r="B87" s="1499"/>
      <c r="C87" s="1499"/>
      <c r="D87" s="1499"/>
      <c r="E87" s="1499"/>
      <c r="F87" s="2148"/>
      <c r="G87" s="2148"/>
      <c r="H87" s="863"/>
      <c r="N87" s="1878"/>
      <c r="P87" s="1878"/>
      <c r="Q87" s="2148"/>
      <c r="R87" s="2148"/>
      <c r="S87" s="1878"/>
      <c r="T87" s="1878"/>
      <c r="U87" s="1878"/>
      <c r="V87" s="1878"/>
      <c r="W87" s="2148"/>
      <c r="X87" s="1878"/>
      <c r="Y87" s="1878"/>
      <c r="Z87" s="1056"/>
      <c r="AA87" s="1878"/>
      <c r="AB87" s="1878"/>
      <c r="AC87" s="1878"/>
      <c r="AD87" s="1878"/>
      <c r="AE87" s="1878"/>
      <c r="AF87" s="2144"/>
      <c r="AG87" s="1134"/>
      <c r="AH87" s="1134"/>
      <c r="AI87" s="1134"/>
      <c r="AJ87" s="1134"/>
      <c r="AK87" s="2153">
        <v>11</v>
      </c>
    </row>
    <row s="51564" customFormat="1" customHeight="1" ht="11.549999999999999">
      <c r="A88" s="1499"/>
      <c r="B88" s="1499"/>
      <c r="C88" s="1499"/>
      <c r="D88" s="1499"/>
      <c r="E88" s="1499"/>
      <c r="F88" s="2148"/>
      <c r="G88" s="2148"/>
      <c r="H88" s="863"/>
      <c r="N88" s="1878"/>
      <c r="P88" s="1878"/>
      <c r="Q88" s="2148"/>
      <c r="R88" s="2148"/>
      <c r="S88" s="1878"/>
      <c r="T88" s="1878"/>
      <c r="U88" s="1878"/>
      <c r="V88" s="1878"/>
      <c r="W88" s="2148"/>
      <c r="X88" s="1878"/>
      <c r="Y88" s="1878"/>
      <c r="Z88" s="1056"/>
      <c r="AA88" s="1878"/>
      <c r="AB88" s="1878"/>
      <c r="AC88" s="1878"/>
      <c r="AD88" s="1878"/>
      <c r="AE88" s="1878"/>
      <c r="AF88" s="2144"/>
      <c r="AG88" s="1134"/>
      <c r="AH88" s="1134"/>
      <c r="AI88" s="1134"/>
      <c r="AJ88" s="1134"/>
      <c r="AK88" s="2153">
        <v>11</v>
      </c>
    </row>
    <row s="51564" customFormat="1" customHeight="1" ht="11.549999999999999">
      <c r="A89" s="1499"/>
      <c r="B89" s="1499"/>
      <c r="C89" s="1499"/>
      <c r="D89" s="1499"/>
      <c r="E89" s="1499"/>
      <c r="F89" s="2148"/>
      <c r="G89" s="2148"/>
      <c r="H89" s="863"/>
      <c r="N89" s="1878"/>
      <c r="P89" s="1878"/>
      <c r="Q89" s="2148"/>
      <c r="R89" s="2148"/>
      <c r="S89" s="1878"/>
      <c r="T89" s="1878"/>
      <c r="U89" s="1878"/>
      <c r="V89" s="1878"/>
      <c r="W89" s="2148"/>
      <c r="X89" s="1878"/>
      <c r="Y89" s="1878"/>
      <c r="Z89" s="1056"/>
      <c r="AA89" s="1878"/>
      <c r="AB89" s="1878"/>
      <c r="AC89" s="1878"/>
      <c r="AD89" s="1878"/>
      <c r="AE89" s="1878"/>
      <c r="AF89" s="2144"/>
      <c r="AG89" s="1134"/>
      <c r="AH89" s="1134"/>
      <c r="AI89" s="1134"/>
      <c r="AJ89" s="1134"/>
      <c r="AK89" s="2153">
        <v>11</v>
      </c>
    </row>
    <row s="51564" customFormat="1" customHeight="1" ht="11.549999999999999">
      <c r="A90" s="1499"/>
      <c r="B90" s="1499"/>
      <c r="C90" s="1499"/>
      <c r="D90" s="1499"/>
      <c r="E90" s="1499"/>
      <c r="F90" s="2148"/>
      <c r="G90" s="2148"/>
      <c r="H90" s="863"/>
      <c r="N90" s="1878"/>
      <c r="P90" s="1878"/>
      <c r="Q90" s="2148"/>
      <c r="R90" s="2148"/>
      <c r="S90" s="1878"/>
      <c r="T90" s="1878"/>
      <c r="U90" s="1878"/>
      <c r="V90" s="1878"/>
      <c r="W90" s="2148"/>
      <c r="X90" s="1878"/>
      <c r="Y90" s="1878"/>
      <c r="Z90" s="1056"/>
      <c r="AA90" s="1878"/>
      <c r="AB90" s="1878"/>
      <c r="AC90" s="1878"/>
      <c r="AD90" s="1878"/>
      <c r="AE90" s="1878"/>
      <c r="AF90" s="2144"/>
      <c r="AG90" s="1134"/>
      <c r="AH90" s="1134"/>
      <c r="AI90" s="1134"/>
      <c r="AJ90" s="1134"/>
      <c r="AK90" s="2153">
        <v>11</v>
      </c>
    </row>
    <row s="51564" customFormat="1" customHeight="1" ht="11.549999999999999">
      <c r="A91" s="1499"/>
      <c r="B91" s="1499"/>
      <c r="C91" s="1499"/>
      <c r="D91" s="1499"/>
      <c r="E91" s="1499"/>
      <c r="F91" s="2148"/>
      <c r="G91" s="2148"/>
      <c r="H91" s="863"/>
      <c r="N91" s="1878"/>
      <c r="P91" s="1878"/>
      <c r="Q91" s="2148"/>
      <c r="R91" s="2148"/>
      <c r="S91" s="1878"/>
      <c r="T91" s="1878"/>
      <c r="U91" s="1878"/>
      <c r="V91" s="1878"/>
      <c r="W91" s="2148"/>
      <c r="X91" s="1878"/>
      <c r="Y91" s="1878"/>
      <c r="Z91" s="1056"/>
      <c r="AA91" s="1878"/>
      <c r="AB91" s="1878"/>
      <c r="AC91" s="1878"/>
      <c r="AD91" s="1878"/>
      <c r="AE91" s="1878"/>
      <c r="AF91" s="2144"/>
      <c r="AG91" s="1134"/>
      <c r="AH91" s="1134"/>
      <c r="AI91" s="1134"/>
      <c r="AJ91" s="1134"/>
      <c r="AK91" s="2153">
        <v>11</v>
      </c>
    </row>
    <row s="51564" customFormat="1" customHeight="1" ht="11.549999999999999">
      <c r="A92" s="1499"/>
      <c r="B92" s="1499"/>
      <c r="C92" s="1499"/>
      <c r="D92" s="1499"/>
      <c r="E92" s="1499"/>
      <c r="F92" s="2148"/>
      <c r="G92" s="2148"/>
      <c r="H92" s="863"/>
      <c r="N92" s="1878"/>
      <c r="P92" s="1878"/>
      <c r="Q92" s="2148"/>
      <c r="R92" s="2148"/>
      <c r="S92" s="1878"/>
      <c r="T92" s="1878"/>
      <c r="U92" s="1878"/>
      <c r="V92" s="1878"/>
      <c r="W92" s="2148"/>
      <c r="X92" s="1878"/>
      <c r="Y92" s="1878"/>
      <c r="Z92" s="1056"/>
      <c r="AA92" s="1878"/>
      <c r="AB92" s="1878"/>
      <c r="AC92" s="1878"/>
      <c r="AD92" s="1878"/>
      <c r="AE92" s="1878"/>
      <c r="AF92" s="2144"/>
      <c r="AG92" s="1134"/>
      <c r="AH92" s="1134"/>
      <c r="AI92" s="1134"/>
      <c r="AJ92" s="1134"/>
      <c r="AK92" s="2153">
        <v>11</v>
      </c>
    </row>
    <row s="51564" customFormat="1" customHeight="1" ht="11.549999999999999">
      <c r="A93" s="1499"/>
      <c r="B93" s="1499"/>
      <c r="C93" s="1499"/>
      <c r="D93" s="1499"/>
      <c r="E93" s="1499"/>
      <c r="F93" s="2148"/>
      <c r="G93" s="2148"/>
      <c r="H93" s="863"/>
      <c r="N93" s="1878"/>
      <c r="P93" s="1878"/>
      <c r="Q93" s="2148"/>
      <c r="R93" s="2148"/>
      <c r="S93" s="1878"/>
      <c r="T93" s="1878"/>
      <c r="U93" s="1878"/>
      <c r="V93" s="1878"/>
      <c r="W93" s="2148"/>
      <c r="X93" s="1878"/>
      <c r="Y93" s="1878"/>
      <c r="Z93" s="1056"/>
      <c r="AA93" s="1878"/>
      <c r="AB93" s="1878"/>
      <c r="AC93" s="1878"/>
      <c r="AD93" s="1878"/>
      <c r="AE93" s="1878"/>
      <c r="AF93" s="2144"/>
      <c r="AG93" s="1134"/>
      <c r="AH93" s="1134"/>
      <c r="AI93" s="1134"/>
      <c r="AJ93" s="1134"/>
      <c r="AK93" s="2153">
        <v>11</v>
      </c>
    </row>
    <row s="51564" customFormat="1" customHeight="1" ht="11.549999999999999">
      <c r="A94" s="1499"/>
      <c r="B94" s="1499"/>
      <c r="C94" s="1499"/>
      <c r="D94" s="1499"/>
      <c r="E94" s="1499"/>
      <c r="F94" s="2148"/>
      <c r="G94" s="2148"/>
      <c r="H94" s="863"/>
      <c r="N94" s="1878"/>
      <c r="P94" s="1878"/>
      <c r="Q94" s="2148"/>
      <c r="R94" s="2148"/>
      <c r="S94" s="1878"/>
      <c r="T94" s="1878"/>
      <c r="U94" s="1878"/>
      <c r="V94" s="1878"/>
      <c r="W94" s="2148"/>
      <c r="X94" s="1878"/>
      <c r="Y94" s="1878"/>
      <c r="Z94" s="1056"/>
      <c r="AA94" s="1878"/>
      <c r="AB94" s="1878"/>
      <c r="AC94" s="1878"/>
      <c r="AD94" s="1878"/>
      <c r="AE94" s="1878"/>
      <c r="AF94" s="2144"/>
      <c r="AG94" s="1134"/>
      <c r="AH94" s="1134"/>
      <c r="AI94" s="1134"/>
      <c r="AJ94" s="1134"/>
      <c r="AK94" s="2153">
        <v>11</v>
      </c>
    </row>
    <row s="51564" customFormat="1" customHeight="1" ht="11.549999999999999">
      <c r="A95" s="1499"/>
      <c r="B95" s="1499"/>
      <c r="C95" s="1499"/>
      <c r="D95" s="1499"/>
      <c r="E95" s="1499"/>
      <c r="F95" s="2148"/>
      <c r="G95" s="2148"/>
      <c r="H95" s="863"/>
      <c r="N95" s="1878"/>
      <c r="P95" s="1878"/>
      <c r="Q95" s="2148"/>
      <c r="R95" s="2148"/>
      <c r="S95" s="1878"/>
      <c r="T95" s="1878"/>
      <c r="U95" s="1878"/>
      <c r="V95" s="1878"/>
      <c r="W95" s="2148"/>
      <c r="X95" s="1878"/>
      <c r="Y95" s="1878"/>
      <c r="Z95" s="1056"/>
      <c r="AA95" s="1878"/>
      <c r="AB95" s="1878"/>
      <c r="AC95" s="1878"/>
      <c r="AD95" s="1878"/>
      <c r="AE95" s="1878"/>
      <c r="AF95" s="2144"/>
      <c r="AG95" s="1134"/>
      <c r="AH95" s="1134"/>
      <c r="AI95" s="1134"/>
      <c r="AJ95" s="1134"/>
      <c r="AK95" s="2153">
        <v>11</v>
      </c>
    </row>
    <row s="51564" customFormat="1" customHeight="1" ht="11.549999999999999">
      <c r="A96" s="1499"/>
      <c r="B96" s="1499"/>
      <c r="C96" s="1499"/>
      <c r="D96" s="1499"/>
      <c r="E96" s="1499"/>
      <c r="F96" s="2148"/>
      <c r="G96" s="2148"/>
      <c r="H96" s="863"/>
      <c r="N96" s="1878"/>
      <c r="P96" s="1878"/>
      <c r="Q96" s="2148"/>
      <c r="R96" s="2148"/>
      <c r="S96" s="1878"/>
      <c r="T96" s="1878"/>
      <c r="U96" s="1878"/>
      <c r="V96" s="1878"/>
      <c r="W96" s="2148"/>
      <c r="X96" s="1878"/>
      <c r="Y96" s="1878"/>
      <c r="Z96" s="1056"/>
      <c r="AA96" s="1878"/>
      <c r="AB96" s="1878"/>
      <c r="AC96" s="1878"/>
      <c r="AD96" s="1878"/>
      <c r="AE96" s="1878"/>
      <c r="AF96" s="2144"/>
      <c r="AG96" s="1134"/>
      <c r="AH96" s="1134"/>
      <c r="AI96" s="1134"/>
      <c r="AJ96" s="1134"/>
      <c r="AK96" s="2153">
        <v>11</v>
      </c>
    </row>
    <row s="51564" customFormat="1" customHeight="1" ht="11.549999999999999">
      <c r="A97" s="1499"/>
      <c r="B97" s="1499"/>
      <c r="C97" s="1499"/>
      <c r="D97" s="1499"/>
      <c r="E97" s="1499"/>
      <c r="F97" s="2148"/>
      <c r="G97" s="2148"/>
      <c r="H97" s="863"/>
      <c r="N97" s="1878"/>
      <c r="P97" s="1878"/>
      <c r="Q97" s="2148"/>
      <c r="R97" s="2148"/>
      <c r="S97" s="1878"/>
      <c r="T97" s="1878"/>
      <c r="U97" s="1878"/>
      <c r="V97" s="1878"/>
      <c r="W97" s="2148"/>
      <c r="X97" s="1878"/>
      <c r="Y97" s="1878"/>
      <c r="Z97" s="1056"/>
      <c r="AA97" s="1878"/>
      <c r="AB97" s="1878"/>
      <c r="AC97" s="1878"/>
      <c r="AD97" s="1878"/>
      <c r="AE97" s="1878"/>
      <c r="AF97" s="2144"/>
      <c r="AG97" s="1134"/>
      <c r="AH97" s="1134"/>
      <c r="AI97" s="1134"/>
      <c r="AJ97" s="1134"/>
      <c r="AK97" s="2153">
        <v>11</v>
      </c>
    </row>
    <row s="51564" customFormat="1" customHeight="1" ht="11.549999999999999">
      <c r="A98" s="1499"/>
      <c r="B98" s="1499"/>
      <c r="C98" s="1499"/>
      <c r="D98" s="1499"/>
      <c r="E98" s="1499"/>
      <c r="F98" s="2148"/>
      <c r="G98" s="2148"/>
      <c r="H98" s="863"/>
      <c r="N98" s="1878"/>
      <c r="P98" s="1878"/>
      <c r="Q98" s="2148"/>
      <c r="R98" s="2148"/>
      <c r="S98" s="1878"/>
      <c r="T98" s="1878"/>
      <c r="U98" s="1878"/>
      <c r="V98" s="1878"/>
      <c r="W98" s="2148"/>
      <c r="X98" s="1878"/>
      <c r="Y98" s="1878"/>
      <c r="Z98" s="1056"/>
      <c r="AA98" s="1878"/>
      <c r="AB98" s="1878"/>
      <c r="AC98" s="1878"/>
      <c r="AD98" s="1878"/>
      <c r="AE98" s="1878"/>
      <c r="AF98" s="2144"/>
      <c r="AG98" s="1134"/>
      <c r="AH98" s="1134"/>
      <c r="AI98" s="1134"/>
      <c r="AJ98" s="1134"/>
      <c r="AK98" s="2153">
        <v>11</v>
      </c>
    </row>
    <row s="51564" customFormat="1" customHeight="1" ht="11.549999999999999">
      <c r="A99" s="1499"/>
      <c r="B99" s="1499"/>
      <c r="C99" s="1499"/>
      <c r="D99" s="1499"/>
      <c r="E99" s="1499"/>
      <c r="F99" s="2148"/>
      <c r="G99" s="2148"/>
      <c r="H99" s="863"/>
      <c r="N99" s="1878"/>
      <c r="P99" s="1878"/>
      <c r="Q99" s="2148"/>
      <c r="R99" s="2148"/>
      <c r="S99" s="1878"/>
      <c r="T99" s="1878"/>
      <c r="U99" s="1878"/>
      <c r="V99" s="1878"/>
      <c r="W99" s="2148"/>
      <c r="X99" s="1878"/>
      <c r="Y99" s="1878"/>
      <c r="Z99" s="1056"/>
      <c r="AA99" s="1878"/>
      <c r="AB99" s="1878"/>
      <c r="AC99" s="1878"/>
      <c r="AD99" s="1878"/>
      <c r="AE99" s="1878"/>
      <c r="AF99" s="2144"/>
      <c r="AG99" s="1134"/>
      <c r="AH99" s="1134"/>
      <c r="AI99" s="1134"/>
      <c r="AJ99" s="1134"/>
      <c r="AK99" s="2153">
        <v>11</v>
      </c>
    </row>
    <row s="51564" customFormat="1" customHeight="1" ht="11.549999999999999">
      <c r="A100" s="1499"/>
      <c r="B100" s="1499"/>
      <c r="C100" s="1499"/>
      <c r="D100" s="1499"/>
      <c r="E100" s="1499"/>
      <c r="F100" s="2148"/>
      <c r="G100" s="2148"/>
      <c r="H100" s="863"/>
      <c r="N100" s="1878"/>
      <c r="P100" s="1878"/>
      <c r="Q100" s="2148"/>
      <c r="R100" s="2148"/>
      <c r="S100" s="1878"/>
      <c r="T100" s="1878"/>
      <c r="U100" s="1878"/>
      <c r="V100" s="1878"/>
      <c r="W100" s="2148"/>
      <c r="X100" s="1878"/>
      <c r="Y100" s="1878"/>
      <c r="Z100" s="1056"/>
      <c r="AA100" s="1878"/>
      <c r="AB100" s="1878"/>
      <c r="AC100" s="1878"/>
      <c r="AD100" s="1878"/>
      <c r="AE100" s="1878"/>
      <c r="AF100" s="2144"/>
      <c r="AG100" s="1134"/>
      <c r="AH100" s="1134"/>
      <c r="AI100" s="1134"/>
      <c r="AJ100" s="1134"/>
      <c r="AK100" s="2153">
        <v>11</v>
      </c>
    </row>
    <row s="51564" customFormat="1" customHeight="1" ht="11.549999999999999">
      <c r="A101" s="1499"/>
      <c r="B101" s="1499"/>
      <c r="C101" s="1499"/>
      <c r="D101" s="1499"/>
      <c r="E101" s="1499"/>
      <c r="F101" s="2148"/>
      <c r="G101" s="2148"/>
      <c r="H101" s="863"/>
      <c r="N101" s="1878"/>
      <c r="P101" s="1878"/>
      <c r="Q101" s="2148"/>
      <c r="R101" s="2148"/>
      <c r="S101" s="1878"/>
      <c r="T101" s="1878"/>
      <c r="U101" s="1878"/>
      <c r="V101" s="1878"/>
      <c r="W101" s="2148"/>
      <c r="X101" s="1878"/>
      <c r="Y101" s="1878"/>
      <c r="Z101" s="1056"/>
      <c r="AA101" s="1878"/>
      <c r="AB101" s="1878"/>
      <c r="AC101" s="1878"/>
      <c r="AD101" s="1878"/>
      <c r="AE101" s="1878"/>
      <c r="AF101" s="2144"/>
      <c r="AG101" s="1134"/>
      <c r="AH101" s="1134"/>
      <c r="AI101" s="1134"/>
      <c r="AJ101" s="1134"/>
      <c r="AK101" s="2153">
        <v>11</v>
      </c>
    </row>
    <row s="51564" customFormat="1" customHeight="1" ht="11.549999999999999">
      <c r="A102" s="1499"/>
      <c r="B102" s="1499"/>
      <c r="C102" s="1499"/>
      <c r="D102" s="1499"/>
      <c r="E102" s="1499"/>
      <c r="F102" s="2148"/>
      <c r="G102" s="2148"/>
      <c r="H102" s="863"/>
      <c r="N102" s="1878"/>
      <c r="P102" s="1878"/>
      <c r="Q102" s="2148"/>
      <c r="R102" s="2148"/>
      <c r="S102" s="1878"/>
      <c r="T102" s="1878"/>
      <c r="U102" s="1878"/>
      <c r="V102" s="1878"/>
      <c r="W102" s="2148"/>
      <c r="X102" s="1878"/>
      <c r="Y102" s="1878"/>
      <c r="Z102" s="1056"/>
      <c r="AA102" s="1878"/>
      <c r="AB102" s="1878"/>
      <c r="AC102" s="1878"/>
      <c r="AD102" s="1878"/>
      <c r="AE102" s="1878"/>
      <c r="AF102" s="2144"/>
      <c r="AG102" s="1134"/>
      <c r="AH102" s="1134"/>
      <c r="AI102" s="1134"/>
      <c r="AJ102" s="1134"/>
      <c r="AK102" s="2153">
        <v>11</v>
      </c>
    </row>
    <row s="51564" customFormat="1" customHeight="1" ht="11.549999999999999">
      <c r="A103" s="1499"/>
      <c r="B103" s="1499"/>
      <c r="C103" s="1499"/>
      <c r="D103" s="1499"/>
      <c r="E103" s="1499"/>
      <c r="F103" s="2148"/>
      <c r="G103" s="2148"/>
      <c r="H103" s="863"/>
      <c r="N103" s="1878"/>
      <c r="P103" s="1878"/>
      <c r="Q103" s="2148"/>
      <c r="R103" s="2148"/>
      <c r="S103" s="1878"/>
      <c r="T103" s="1878"/>
      <c r="U103" s="1878"/>
      <c r="V103" s="1878"/>
      <c r="W103" s="2148"/>
      <c r="X103" s="1878"/>
      <c r="Y103" s="1878"/>
      <c r="Z103" s="1056"/>
      <c r="AA103" s="1878"/>
      <c r="AB103" s="1878"/>
      <c r="AC103" s="1878"/>
      <c r="AD103" s="1878"/>
      <c r="AE103" s="1878"/>
      <c r="AF103" s="2144"/>
      <c r="AG103" s="1134"/>
      <c r="AH103" s="1134"/>
      <c r="AI103" s="1134"/>
      <c r="AJ103" s="1134"/>
      <c r="AK103" s="2153">
        <v>11</v>
      </c>
    </row>
    <row s="51564" customFormat="1" customHeight="1" ht="11.549999999999999">
      <c r="A104" s="1499"/>
      <c r="B104" s="1499"/>
      <c r="C104" s="1499"/>
      <c r="D104" s="1499"/>
      <c r="E104" s="1499"/>
      <c r="F104" s="2148"/>
      <c r="G104" s="2148"/>
      <c r="H104" s="863"/>
      <c r="N104" s="1878"/>
      <c r="P104" s="1878"/>
      <c r="Q104" s="2148"/>
      <c r="R104" s="2148"/>
      <c r="S104" s="1878"/>
      <c r="T104" s="1878"/>
      <c r="U104" s="1878"/>
      <c r="V104" s="1878"/>
      <c r="W104" s="2148"/>
      <c r="X104" s="1878"/>
      <c r="Y104" s="1878"/>
      <c r="Z104" s="1056"/>
      <c r="AA104" s="1878"/>
      <c r="AB104" s="1878"/>
      <c r="AC104" s="1878"/>
      <c r="AD104" s="1878"/>
      <c r="AE104" s="1878"/>
      <c r="AF104" s="2144"/>
      <c r="AG104" s="1134"/>
      <c r="AH104" s="1134"/>
      <c r="AI104" s="1134"/>
      <c r="AJ104" s="1134"/>
      <c r="AK104" s="2153">
        <v>11</v>
      </c>
    </row>
    <row s="51564" customFormat="1" customHeight="1" ht="11.549999999999999">
      <c r="A105" s="1499"/>
      <c r="B105" s="1499"/>
      <c r="C105" s="1499"/>
      <c r="D105" s="1499"/>
      <c r="E105" s="1499"/>
      <c r="F105" s="2148"/>
      <c r="G105" s="2148"/>
      <c r="H105" s="863"/>
      <c r="N105" s="1878"/>
      <c r="P105" s="1878"/>
      <c r="Q105" s="2148"/>
      <c r="R105" s="2148"/>
      <c r="S105" s="1878"/>
      <c r="T105" s="1878"/>
      <c r="U105" s="1878"/>
      <c r="V105" s="1878"/>
      <c r="W105" s="2148"/>
      <c r="X105" s="1878"/>
      <c r="Y105" s="1878"/>
      <c r="Z105" s="1056"/>
      <c r="AA105" s="1878"/>
      <c r="AB105" s="1878"/>
      <c r="AC105" s="1878"/>
      <c r="AD105" s="1878"/>
      <c r="AE105" s="1878"/>
      <c r="AF105" s="2144"/>
      <c r="AG105" s="1134"/>
      <c r="AH105" s="1134"/>
      <c r="AI105" s="1134"/>
      <c r="AJ105" s="1134"/>
      <c r="AK105" s="2153">
        <v>11</v>
      </c>
    </row>
    <row s="51564" customFormat="1" customHeight="1" ht="11.549999999999999">
      <c r="A106" s="1499"/>
      <c r="B106" s="1499"/>
      <c r="C106" s="1499"/>
      <c r="D106" s="1499"/>
      <c r="E106" s="1499"/>
      <c r="F106" s="2148"/>
      <c r="G106" s="2148"/>
      <c r="H106" s="863"/>
      <c r="N106" s="1878"/>
      <c r="P106" s="1878"/>
      <c r="Q106" s="2148"/>
      <c r="R106" s="2148"/>
      <c r="S106" s="1878"/>
      <c r="T106" s="1878"/>
      <c r="U106" s="1878"/>
      <c r="V106" s="1878"/>
      <c r="W106" s="2148"/>
      <c r="X106" s="1878"/>
      <c r="Y106" s="1878"/>
      <c r="Z106" s="1056"/>
      <c r="AA106" s="1878"/>
      <c r="AB106" s="1878"/>
      <c r="AC106" s="1878"/>
      <c r="AD106" s="1878"/>
      <c r="AE106" s="1878"/>
      <c r="AF106" s="2144"/>
      <c r="AG106" s="1134"/>
      <c r="AH106" s="1134"/>
      <c r="AI106" s="1134"/>
      <c r="AJ106" s="1134"/>
      <c r="AK106" s="2153">
        <v>11</v>
      </c>
    </row>
    <row s="51564" customFormat="1" customHeight="1" ht="11.549999999999999">
      <c r="A107" s="1499"/>
      <c r="B107" s="1499"/>
      <c r="C107" s="1499"/>
      <c r="D107" s="1499"/>
      <c r="E107" s="1499"/>
      <c r="F107" s="2148"/>
      <c r="G107" s="2148"/>
      <c r="H107" s="863"/>
      <c r="N107" s="1878"/>
      <c r="P107" s="1878"/>
      <c r="Q107" s="2148"/>
      <c r="R107" s="2148"/>
      <c r="S107" s="1878"/>
      <c r="T107" s="1878"/>
      <c r="U107" s="1878"/>
      <c r="V107" s="1878"/>
      <c r="W107" s="2148"/>
      <c r="X107" s="1878"/>
      <c r="Y107" s="1878"/>
      <c r="Z107" s="1056"/>
      <c r="AA107" s="1878"/>
      <c r="AB107" s="1878"/>
      <c r="AC107" s="1878"/>
      <c r="AD107" s="1878"/>
      <c r="AE107" s="1878"/>
      <c r="AF107" s="2144"/>
      <c r="AG107" s="1134"/>
      <c r="AH107" s="1134"/>
      <c r="AI107" s="1134"/>
      <c r="AJ107" s="1134"/>
      <c r="AK107" s="2153">
        <v>11</v>
      </c>
    </row>
    <row s="51564" customFormat="1" customHeight="1" ht="11.549999999999999">
      <c r="A108" s="1499"/>
      <c r="B108" s="1499"/>
      <c r="C108" s="1499"/>
      <c r="D108" s="1499"/>
      <c r="E108" s="1499"/>
      <c r="F108" s="2148"/>
      <c r="G108" s="2148"/>
      <c r="H108" s="863"/>
      <c r="N108" s="1878"/>
      <c r="P108" s="1878"/>
      <c r="Q108" s="2148"/>
      <c r="R108" s="2148"/>
      <c r="S108" s="1878"/>
      <c r="T108" s="1878"/>
      <c r="U108" s="1878"/>
      <c r="V108" s="1878"/>
      <c r="W108" s="2148"/>
      <c r="X108" s="1878"/>
      <c r="Y108" s="1878"/>
      <c r="Z108" s="1056"/>
      <c r="AA108" s="1878"/>
      <c r="AB108" s="1878"/>
      <c r="AC108" s="1878"/>
      <c r="AD108" s="1878"/>
      <c r="AE108" s="1878"/>
      <c r="AF108" s="2144"/>
      <c r="AG108" s="1134"/>
      <c r="AH108" s="1134"/>
      <c r="AI108" s="1134"/>
      <c r="AJ108" s="1134"/>
      <c r="AK108" s="2153">
        <v>11</v>
      </c>
    </row>
    <row s="51564" customFormat="1" customHeight="1" ht="11.549999999999999">
      <c r="A109" s="1499"/>
      <c r="B109" s="1499"/>
      <c r="C109" s="1499"/>
      <c r="D109" s="1499"/>
      <c r="E109" s="1499"/>
      <c r="F109" s="2148"/>
      <c r="G109" s="2148"/>
      <c r="H109" s="863"/>
      <c r="N109" s="1878"/>
      <c r="P109" s="1878"/>
      <c r="Q109" s="2148"/>
      <c r="R109" s="2148"/>
      <c r="S109" s="1878"/>
      <c r="T109" s="1878"/>
      <c r="U109" s="1878"/>
      <c r="V109" s="1878"/>
      <c r="W109" s="2148"/>
      <c r="X109" s="1878"/>
      <c r="Y109" s="1878"/>
      <c r="Z109" s="1056"/>
      <c r="AA109" s="1878"/>
      <c r="AB109" s="1878"/>
      <c r="AC109" s="1878"/>
      <c r="AD109" s="1878"/>
      <c r="AE109" s="1878"/>
      <c r="AF109" s="2144"/>
      <c r="AG109" s="1134"/>
      <c r="AH109" s="1134"/>
      <c r="AI109" s="1134"/>
      <c r="AJ109" s="1134"/>
      <c r="AK109" s="2153">
        <v>11</v>
      </c>
    </row>
    <row s="51564" customFormat="1" customHeight="1" ht="11.549999999999999">
      <c r="A110" s="1499"/>
      <c r="B110" s="1499"/>
      <c r="C110" s="1499"/>
      <c r="D110" s="1499"/>
      <c r="E110" s="1499"/>
      <c r="F110" s="2148"/>
      <c r="G110" s="2148"/>
      <c r="H110" s="863"/>
      <c r="N110" s="1878"/>
      <c r="P110" s="1878"/>
      <c r="Q110" s="2148"/>
      <c r="R110" s="2148"/>
      <c r="S110" s="1878"/>
      <c r="T110" s="1878"/>
      <c r="U110" s="1878"/>
      <c r="V110" s="1878"/>
      <c r="W110" s="2148"/>
      <c r="X110" s="1878"/>
      <c r="Y110" s="1878"/>
      <c r="Z110" s="1056"/>
      <c r="AA110" s="1878"/>
      <c r="AB110" s="1878"/>
      <c r="AC110" s="1878"/>
      <c r="AD110" s="1878"/>
      <c r="AE110" s="1878"/>
      <c r="AF110" s="2144"/>
      <c r="AG110" s="1134"/>
      <c r="AH110" s="1134"/>
      <c r="AI110" s="1134"/>
      <c r="AJ110" s="1134"/>
      <c r="AK110" s="2153">
        <v>11</v>
      </c>
    </row>
    <row s="51564" customFormat="1" customHeight="1" ht="11.549999999999999">
      <c r="A111" s="1499"/>
      <c r="B111" s="1499"/>
      <c r="C111" s="1499"/>
      <c r="D111" s="1499"/>
      <c r="E111" s="1499"/>
      <c r="F111" s="2148"/>
      <c r="G111" s="2148"/>
      <c r="H111" s="863"/>
      <c r="N111" s="1878"/>
      <c r="P111" s="1878"/>
      <c r="Q111" s="2148"/>
      <c r="R111" s="2148"/>
      <c r="S111" s="1878"/>
      <c r="T111" s="1878"/>
      <c r="U111" s="1878"/>
      <c r="V111" s="1878"/>
      <c r="W111" s="2148"/>
      <c r="X111" s="1878"/>
      <c r="Y111" s="1878"/>
      <c r="Z111" s="1056"/>
      <c r="AA111" s="1878"/>
      <c r="AB111" s="1878"/>
      <c r="AC111" s="1878"/>
      <c r="AD111" s="1878"/>
      <c r="AE111" s="1878"/>
      <c r="AF111" s="2144"/>
      <c r="AG111" s="1134"/>
      <c r="AH111" s="1134"/>
      <c r="AI111" s="1134"/>
      <c r="AJ111" s="1134"/>
      <c r="AK111" s="2153">
        <v>11</v>
      </c>
    </row>
    <row s="51564" customFormat="1" customHeight="1" ht="11.549999999999999">
      <c r="A112" s="1499"/>
      <c r="B112" s="1499"/>
      <c r="C112" s="1499"/>
      <c r="D112" s="1499"/>
      <c r="E112" s="1499"/>
      <c r="F112" s="2148"/>
      <c r="G112" s="2148"/>
      <c r="H112" s="863"/>
      <c r="N112" s="1878"/>
      <c r="P112" s="1878"/>
      <c r="Q112" s="2148"/>
      <c r="R112" s="2148"/>
      <c r="S112" s="1878"/>
      <c r="T112" s="1878"/>
      <c r="U112" s="1878"/>
      <c r="V112" s="1878"/>
      <c r="W112" s="2148"/>
      <c r="X112" s="1878"/>
      <c r="Y112" s="1878"/>
      <c r="Z112" s="1056"/>
      <c r="AA112" s="1878"/>
      <c r="AB112" s="1878"/>
      <c r="AC112" s="1878"/>
      <c r="AD112" s="1878"/>
      <c r="AE112" s="1878"/>
      <c r="AF112" s="2144"/>
      <c r="AG112" s="1134"/>
      <c r="AH112" s="1134"/>
      <c r="AI112" s="1134"/>
      <c r="AJ112" s="1134"/>
      <c r="AK112" s="2153">
        <v>11</v>
      </c>
    </row>
    <row s="51564" customFormat="1" customHeight="1" ht="11.549999999999999">
      <c r="A113" s="1499"/>
      <c r="B113" s="1499"/>
      <c r="C113" s="1499"/>
      <c r="D113" s="1499"/>
      <c r="E113" s="1499"/>
      <c r="F113" s="2148"/>
      <c r="G113" s="2148"/>
      <c r="H113" s="863"/>
      <c r="N113" s="1878"/>
      <c r="P113" s="1878"/>
      <c r="Q113" s="2148"/>
      <c r="R113" s="2148"/>
      <c r="S113" s="1878"/>
      <c r="T113" s="1878"/>
      <c r="U113" s="1878"/>
      <c r="V113" s="1878"/>
      <c r="W113" s="2148"/>
      <c r="X113" s="1878"/>
      <c r="Y113" s="1878"/>
      <c r="Z113" s="1056"/>
      <c r="AA113" s="1878"/>
      <c r="AB113" s="1878"/>
      <c r="AC113" s="1878"/>
      <c r="AD113" s="1878"/>
      <c r="AE113" s="1878"/>
      <c r="AF113" s="2144"/>
      <c r="AG113" s="1134"/>
      <c r="AH113" s="1134"/>
      <c r="AI113" s="1134"/>
      <c r="AJ113" s="1134"/>
      <c r="AK113" s="2153">
        <v>11</v>
      </c>
    </row>
    <row s="51564" customFormat="1" customHeight="1" ht="11.549999999999999">
      <c r="A114" s="1499"/>
      <c r="B114" s="1499"/>
      <c r="C114" s="1499"/>
      <c r="D114" s="1499"/>
      <c r="E114" s="1499"/>
      <c r="F114" s="2148"/>
      <c r="G114" s="2148"/>
      <c r="H114" s="863"/>
      <c r="N114" s="1878"/>
      <c r="P114" s="1878"/>
      <c r="Q114" s="2148"/>
      <c r="R114" s="2148"/>
      <c r="S114" s="1878"/>
      <c r="T114" s="1878"/>
      <c r="U114" s="1878"/>
      <c r="V114" s="1878"/>
      <c r="W114" s="2148"/>
      <c r="X114" s="1878"/>
      <c r="Y114" s="1878"/>
      <c r="Z114" s="1056"/>
      <c r="AA114" s="1878"/>
      <c r="AB114" s="1878"/>
      <c r="AC114" s="1878"/>
      <c r="AD114" s="1878"/>
      <c r="AE114" s="1878"/>
      <c r="AF114" s="2144"/>
      <c r="AG114" s="1134"/>
      <c r="AH114" s="1134"/>
      <c r="AI114" s="1134"/>
      <c r="AJ114" s="1134"/>
      <c r="AK114" s="2153">
        <v>11</v>
      </c>
    </row>
    <row s="51564" customFormat="1" customHeight="1" ht="11.549999999999999">
      <c r="A115" s="1499"/>
      <c r="B115" s="1499"/>
      <c r="C115" s="1499"/>
      <c r="D115" s="1499"/>
      <c r="E115" s="1499"/>
      <c r="F115" s="2148"/>
      <c r="G115" s="2148"/>
      <c r="H115" s="863"/>
      <c r="N115" s="1878"/>
      <c r="P115" s="1878"/>
      <c r="Q115" s="2148"/>
      <c r="R115" s="2148"/>
      <c r="S115" s="1878"/>
      <c r="T115" s="1878"/>
      <c r="U115" s="1878"/>
      <c r="V115" s="1878"/>
      <c r="W115" s="2148"/>
      <c r="X115" s="1878"/>
      <c r="Y115" s="1878"/>
      <c r="Z115" s="1056"/>
      <c r="AA115" s="1878"/>
      <c r="AB115" s="1878"/>
      <c r="AC115" s="1878"/>
      <c r="AD115" s="1878"/>
      <c r="AE115" s="1878"/>
      <c r="AF115" s="2144"/>
      <c r="AG115" s="1134"/>
      <c r="AH115" s="1134"/>
      <c r="AI115" s="1134"/>
      <c r="AJ115" s="1134"/>
      <c r="AK115" s="2153">
        <v>11</v>
      </c>
    </row>
    <row s="51564" customFormat="1" customHeight="1" ht="11.549999999999999">
      <c r="A116" s="1499"/>
      <c r="B116" s="1499"/>
      <c r="C116" s="1499"/>
      <c r="D116" s="1499"/>
      <c r="E116" s="1499"/>
      <c r="F116" s="2148"/>
      <c r="G116" s="2148"/>
      <c r="H116" s="863"/>
      <c r="N116" s="1878"/>
      <c r="P116" s="1878"/>
      <c r="Q116" s="2148"/>
      <c r="R116" s="2148"/>
      <c r="S116" s="1878"/>
      <c r="T116" s="1878"/>
      <c r="U116" s="1878"/>
      <c r="V116" s="1878"/>
      <c r="W116" s="2148"/>
      <c r="X116" s="1878"/>
      <c r="Y116" s="1878"/>
      <c r="Z116" s="1056"/>
      <c r="AA116" s="1878"/>
      <c r="AB116" s="1878"/>
      <c r="AC116" s="1878"/>
      <c r="AD116" s="1878"/>
      <c r="AE116" s="1878"/>
      <c r="AF116" s="2144"/>
      <c r="AG116" s="1134"/>
      <c r="AH116" s="1134"/>
      <c r="AI116" s="1134"/>
      <c r="AJ116" s="1134"/>
      <c r="AK116" s="2153">
        <v>11</v>
      </c>
    </row>
    <row s="51564" customFormat="1" customHeight="1" ht="11.549999999999999">
      <c r="A117" s="1499"/>
      <c r="B117" s="1499"/>
      <c r="C117" s="1499"/>
      <c r="D117" s="1499"/>
      <c r="E117" s="1499"/>
      <c r="F117" s="2148"/>
      <c r="G117" s="2148"/>
      <c r="H117" s="863"/>
      <c r="N117" s="1878"/>
      <c r="P117" s="1878"/>
      <c r="Q117" s="2148"/>
      <c r="R117" s="2148"/>
      <c r="S117" s="1878"/>
      <c r="T117" s="1878"/>
      <c r="U117" s="1878"/>
      <c r="V117" s="1878"/>
      <c r="W117" s="2148"/>
      <c r="X117" s="1878"/>
      <c r="Y117" s="1878"/>
      <c r="Z117" s="1056"/>
      <c r="AA117" s="1878"/>
      <c r="AB117" s="1878"/>
      <c r="AC117" s="1878"/>
      <c r="AD117" s="1878"/>
      <c r="AE117" s="1878"/>
      <c r="AF117" s="2144"/>
      <c r="AG117" s="1134"/>
      <c r="AH117" s="1134"/>
      <c r="AI117" s="1134"/>
      <c r="AJ117" s="1134"/>
      <c r="AK117" s="2153">
        <v>11</v>
      </c>
    </row>
    <row s="51564" customFormat="1" customHeight="1" ht="11.549999999999999">
      <c r="A118" s="1499"/>
      <c r="B118" s="1499"/>
      <c r="C118" s="1499"/>
      <c r="D118" s="1499"/>
      <c r="E118" s="1499"/>
      <c r="F118" s="2148"/>
      <c r="G118" s="2148"/>
      <c r="H118" s="863"/>
      <c r="N118" s="1878"/>
      <c r="P118" s="1878"/>
      <c r="Q118" s="2148"/>
      <c r="R118" s="2148"/>
      <c r="S118" s="1878"/>
      <c r="T118" s="1878"/>
      <c r="U118" s="1878"/>
      <c r="V118" s="1878"/>
      <c r="W118" s="2148"/>
      <c r="X118" s="1878"/>
      <c r="Y118" s="1878"/>
      <c r="Z118" s="1056"/>
      <c r="AA118" s="1878"/>
      <c r="AB118" s="1878"/>
      <c r="AC118" s="1878"/>
      <c r="AD118" s="1878"/>
      <c r="AE118" s="1878"/>
      <c r="AF118" s="2144"/>
      <c r="AG118" s="1134"/>
      <c r="AH118" s="1134"/>
      <c r="AI118" s="1134"/>
      <c r="AJ118" s="1134"/>
      <c r="AK118" s="2153">
        <v>11</v>
      </c>
    </row>
    <row s="51564" customFormat="1" customHeight="1" ht="11.549999999999999">
      <c r="A119" s="1499"/>
      <c r="B119" s="1499"/>
      <c r="C119" s="1499"/>
      <c r="D119" s="1499"/>
      <c r="E119" s="1499"/>
      <c r="F119" s="2148"/>
      <c r="G119" s="2148"/>
      <c r="H119" s="863"/>
      <c r="N119" s="1878"/>
      <c r="P119" s="1878"/>
      <c r="Q119" s="2148"/>
      <c r="R119" s="2148"/>
      <c r="S119" s="1878"/>
      <c r="T119" s="1878"/>
      <c r="U119" s="1878"/>
      <c r="V119" s="1878"/>
      <c r="W119" s="2148"/>
      <c r="X119" s="1878"/>
      <c r="Y119" s="1878"/>
      <c r="Z119" s="1056"/>
      <c r="AA119" s="1878"/>
      <c r="AB119" s="1878"/>
      <c r="AC119" s="1878"/>
      <c r="AD119" s="1878"/>
      <c r="AE119" s="1878"/>
      <c r="AF119" s="2144"/>
      <c r="AG119" s="1134"/>
      <c r="AH119" s="1134"/>
      <c r="AI119" s="1134"/>
      <c r="AJ119" s="1134"/>
      <c r="AK119" s="2153">
        <v>11</v>
      </c>
    </row>
    <row s="51564" customFormat="1" customHeight="1" ht="11.549999999999999">
      <c r="A120" s="1499"/>
      <c r="B120" s="1499"/>
      <c r="C120" s="1499"/>
      <c r="D120" s="1499"/>
      <c r="E120" s="1499"/>
      <c r="F120" s="2148"/>
      <c r="G120" s="2148"/>
      <c r="H120" s="863"/>
      <c r="N120" s="1878"/>
      <c r="P120" s="1878"/>
      <c r="Q120" s="2148"/>
      <c r="R120" s="2148"/>
      <c r="S120" s="1878"/>
      <c r="T120" s="1878"/>
      <c r="U120" s="1878"/>
      <c r="V120" s="1878"/>
      <c r="W120" s="2148"/>
      <c r="X120" s="1878"/>
      <c r="Y120" s="1878"/>
      <c r="Z120" s="1056"/>
      <c r="AA120" s="1878"/>
      <c r="AB120" s="1878"/>
      <c r="AC120" s="1878"/>
      <c r="AD120" s="1878"/>
      <c r="AE120" s="1878"/>
      <c r="AF120" s="2144"/>
      <c r="AG120" s="1134"/>
      <c r="AH120" s="1134"/>
      <c r="AI120" s="1134"/>
      <c r="AJ120" s="1134"/>
      <c r="AK120" s="2153">
        <v>11</v>
      </c>
    </row>
    <row s="51564" customFormat="1" customHeight="1" ht="11.549999999999999">
      <c r="A121" s="1499"/>
      <c r="B121" s="1499"/>
      <c r="C121" s="1499"/>
      <c r="D121" s="1499"/>
      <c r="E121" s="1499"/>
      <c r="F121" s="2148"/>
      <c r="G121" s="2148"/>
      <c r="H121" s="863"/>
      <c r="N121" s="1878"/>
      <c r="P121" s="1878"/>
      <c r="Q121" s="2148"/>
      <c r="R121" s="2148"/>
      <c r="S121" s="1878"/>
      <c r="T121" s="1878"/>
      <c r="U121" s="1878"/>
      <c r="V121" s="1878"/>
      <c r="W121" s="2148"/>
      <c r="X121" s="1878"/>
      <c r="Y121" s="1878"/>
      <c r="Z121" s="1056"/>
      <c r="AA121" s="1878"/>
      <c r="AB121" s="1878"/>
      <c r="AC121" s="1878"/>
      <c r="AD121" s="1878"/>
      <c r="AE121" s="1878"/>
      <c r="AF121" s="2144"/>
      <c r="AG121" s="1134"/>
      <c r="AH121" s="1134"/>
      <c r="AI121" s="1134"/>
      <c r="AJ121" s="1134"/>
      <c r="AK121" s="2153">
        <v>11</v>
      </c>
    </row>
    <row s="51564" customFormat="1" customHeight="1" ht="11.549999999999999">
      <c r="A122" s="1499"/>
      <c r="B122" s="1499"/>
      <c r="C122" s="1499"/>
      <c r="D122" s="1499"/>
      <c r="E122" s="1499"/>
      <c r="F122" s="2148"/>
      <c r="G122" s="2148"/>
      <c r="H122" s="863"/>
      <c r="N122" s="1878"/>
      <c r="P122" s="1878"/>
      <c r="Q122" s="2148"/>
      <c r="R122" s="2148"/>
      <c r="S122" s="1878"/>
      <c r="T122" s="1878"/>
      <c r="U122" s="1878"/>
      <c r="V122" s="1878"/>
      <c r="W122" s="2148"/>
      <c r="X122" s="1878"/>
      <c r="Y122" s="1878"/>
      <c r="Z122" s="1056"/>
      <c r="AA122" s="1878"/>
      <c r="AB122" s="1878"/>
      <c r="AC122" s="1878"/>
      <c r="AD122" s="1878"/>
      <c r="AE122" s="1878"/>
      <c r="AF122" s="2144"/>
      <c r="AG122" s="1134"/>
      <c r="AH122" s="1134"/>
      <c r="AI122" s="1134"/>
      <c r="AJ122" s="1134"/>
      <c r="AK122" s="2153">
        <v>11</v>
      </c>
    </row>
    <row s="51564" customFormat="1" customHeight="1" ht="11.549999999999999">
      <c r="A123" s="1499"/>
      <c r="B123" s="1499"/>
      <c r="C123" s="1499"/>
      <c r="D123" s="1499"/>
      <c r="E123" s="1499"/>
      <c r="F123" s="2148"/>
      <c r="G123" s="2148"/>
      <c r="H123" s="863"/>
      <c r="N123" s="1878"/>
      <c r="P123" s="1878"/>
      <c r="Q123" s="2148"/>
      <c r="R123" s="2148"/>
      <c r="S123" s="1878"/>
      <c r="T123" s="1878"/>
      <c r="U123" s="1878"/>
      <c r="V123" s="1878"/>
      <c r="W123" s="2148"/>
      <c r="X123" s="1878"/>
      <c r="Y123" s="1878"/>
      <c r="Z123" s="1056"/>
      <c r="AA123" s="1878"/>
      <c r="AB123" s="1878"/>
      <c r="AC123" s="1878"/>
      <c r="AD123" s="1878"/>
      <c r="AE123" s="1878"/>
      <c r="AF123" s="2144"/>
      <c r="AG123" s="1134"/>
      <c r="AH123" s="1134"/>
      <c r="AI123" s="1134"/>
      <c r="AJ123" s="1134"/>
      <c r="AK123" s="2153">
        <v>11</v>
      </c>
    </row>
    <row s="51564" customFormat="1" customHeight="1" ht="11.549999999999999">
      <c r="A124" s="1499"/>
      <c r="B124" s="1499"/>
      <c r="C124" s="1499"/>
      <c r="D124" s="1499"/>
      <c r="E124" s="1499"/>
      <c r="F124" s="2148"/>
      <c r="G124" s="2148"/>
      <c r="H124" s="863"/>
      <c r="N124" s="1878"/>
      <c r="P124" s="1878"/>
      <c r="Q124" s="2148"/>
      <c r="R124" s="2148"/>
      <c r="S124" s="1878"/>
      <c r="T124" s="1878"/>
      <c r="U124" s="1878"/>
      <c r="V124" s="1878"/>
      <c r="W124" s="2148"/>
      <c r="X124" s="1878"/>
      <c r="Y124" s="1878"/>
      <c r="Z124" s="1056"/>
      <c r="AA124" s="1878"/>
      <c r="AB124" s="1878"/>
      <c r="AC124" s="1878"/>
      <c r="AD124" s="1878"/>
      <c r="AE124" s="1878"/>
      <c r="AF124" s="2144"/>
      <c r="AG124" s="1134"/>
      <c r="AH124" s="1134"/>
      <c r="AI124" s="1134"/>
      <c r="AJ124" s="1134"/>
      <c r="AK124" s="2153">
        <v>11</v>
      </c>
    </row>
    <row s="51564" customFormat="1" customHeight="1" ht="11.549999999999999">
      <c r="A125" s="1499"/>
      <c r="B125" s="1499"/>
      <c r="C125" s="1499"/>
      <c r="D125" s="1499"/>
      <c r="E125" s="1499"/>
      <c r="F125" s="2148"/>
      <c r="G125" s="2148"/>
      <c r="H125" s="863"/>
      <c r="N125" s="1878"/>
      <c r="P125" s="1878"/>
      <c r="Q125" s="2148"/>
      <c r="R125" s="2148"/>
      <c r="S125" s="1878"/>
      <c r="T125" s="1878"/>
      <c r="U125" s="1878"/>
      <c r="V125" s="1878"/>
      <c r="W125" s="2148"/>
      <c r="X125" s="1878"/>
      <c r="Y125" s="1878"/>
      <c r="Z125" s="1056"/>
      <c r="AA125" s="1878"/>
      <c r="AB125" s="1878"/>
      <c r="AC125" s="1878"/>
      <c r="AD125" s="1878"/>
      <c r="AE125" s="1878"/>
      <c r="AF125" s="2144"/>
      <c r="AG125" s="1134"/>
      <c r="AH125" s="1134"/>
      <c r="AI125" s="1134"/>
      <c r="AJ125" s="1134"/>
      <c r="AK125" s="2153">
        <v>11</v>
      </c>
    </row>
    <row s="51564" customFormat="1" customHeight="1" ht="11.549999999999999">
      <c r="A126" s="1499"/>
      <c r="B126" s="1499"/>
      <c r="C126" s="1499"/>
      <c r="D126" s="1499"/>
      <c r="E126" s="1499"/>
      <c r="F126" s="2148"/>
      <c r="G126" s="2148"/>
      <c r="H126" s="863"/>
      <c r="N126" s="1878"/>
      <c r="P126" s="1878"/>
      <c r="Q126" s="2148"/>
      <c r="R126" s="2148"/>
      <c r="S126" s="1878"/>
      <c r="T126" s="1878"/>
      <c r="U126" s="1878"/>
      <c r="V126" s="1878"/>
      <c r="W126" s="2148"/>
      <c r="X126" s="1878"/>
      <c r="Y126" s="1878"/>
      <c r="Z126" s="1056"/>
      <c r="AA126" s="1878"/>
      <c r="AB126" s="1878"/>
      <c r="AC126" s="1878"/>
      <c r="AD126" s="1878"/>
      <c r="AE126" s="1878"/>
      <c r="AF126" s="2144"/>
      <c r="AG126" s="1134"/>
      <c r="AH126" s="1134"/>
      <c r="AI126" s="1134"/>
      <c r="AJ126" s="1134"/>
      <c r="AK126" s="2153">
        <v>11</v>
      </c>
    </row>
    <row s="51564" customFormat="1" customHeight="1" ht="11.549999999999999">
      <c r="A127" s="1499"/>
      <c r="B127" s="1499"/>
      <c r="C127" s="1499"/>
      <c r="D127" s="1499"/>
      <c r="E127" s="1499"/>
      <c r="F127" s="2148"/>
      <c r="G127" s="2148"/>
      <c r="H127" s="863"/>
      <c r="N127" s="1878"/>
      <c r="P127" s="1878"/>
      <c r="Q127" s="2148"/>
      <c r="R127" s="2148"/>
      <c r="S127" s="1878"/>
      <c r="T127" s="1878"/>
      <c r="U127" s="1878"/>
      <c r="V127" s="1878"/>
      <c r="W127" s="2148"/>
      <c r="X127" s="1878"/>
      <c r="Y127" s="1878"/>
      <c r="Z127" s="1056"/>
      <c r="AA127" s="1878"/>
      <c r="AB127" s="1878"/>
      <c r="AC127" s="1878"/>
      <c r="AD127" s="1878"/>
      <c r="AE127" s="1878"/>
      <c r="AF127" s="2144"/>
      <c r="AG127" s="1134"/>
      <c r="AH127" s="1134"/>
      <c r="AI127" s="1134"/>
      <c r="AJ127" s="1134"/>
      <c r="AK127" s="2153">
        <v>11</v>
      </c>
    </row>
    <row s="51564" customFormat="1" customHeight="1" ht="11.549999999999999">
      <c r="A128" s="1499"/>
      <c r="B128" s="1499"/>
      <c r="C128" s="1499"/>
      <c r="D128" s="1499"/>
      <c r="E128" s="1499"/>
      <c r="F128" s="2148"/>
      <c r="G128" s="2148"/>
      <c r="H128" s="863"/>
      <c r="N128" s="1878"/>
      <c r="P128" s="1878"/>
      <c r="Q128" s="2148"/>
      <c r="R128" s="2148"/>
      <c r="S128" s="1878"/>
      <c r="T128" s="1878"/>
      <c r="U128" s="1878"/>
      <c r="V128" s="1878"/>
      <c r="W128" s="2148"/>
      <c r="X128" s="1878"/>
      <c r="Y128" s="1878"/>
      <c r="Z128" s="1056"/>
      <c r="AA128" s="1878"/>
      <c r="AB128" s="1878"/>
      <c r="AC128" s="1878"/>
      <c r="AD128" s="1878"/>
      <c r="AE128" s="1878"/>
      <c r="AF128" s="2144"/>
      <c r="AG128" s="1134"/>
      <c r="AH128" s="1134"/>
      <c r="AI128" s="1134"/>
      <c r="AJ128" s="1134"/>
      <c r="AK128" s="2153">
        <v>11</v>
      </c>
    </row>
    <row s="51564" customFormat="1" customHeight="1" ht="11.549999999999999">
      <c r="A129" s="1499"/>
      <c r="B129" s="1499"/>
      <c r="C129" s="1499"/>
      <c r="D129" s="1499"/>
      <c r="E129" s="1499"/>
      <c r="F129" s="2148"/>
      <c r="G129" s="2148"/>
      <c r="H129" s="863"/>
      <c r="N129" s="1878"/>
      <c r="P129" s="1878"/>
      <c r="Q129" s="2148"/>
      <c r="R129" s="2148"/>
      <c r="S129" s="1878"/>
      <c r="T129" s="1878"/>
      <c r="U129" s="1878"/>
      <c r="V129" s="1878"/>
      <c r="W129" s="2148"/>
      <c r="X129" s="1878"/>
      <c r="Y129" s="1878"/>
      <c r="Z129" s="1056"/>
      <c r="AA129" s="1878"/>
      <c r="AB129" s="1878"/>
      <c r="AC129" s="1878"/>
      <c r="AD129" s="1878"/>
      <c r="AE129" s="1878"/>
      <c r="AF129" s="2144"/>
      <c r="AG129" s="1134"/>
      <c r="AH129" s="1134"/>
      <c r="AI129" s="1134"/>
      <c r="AJ129" s="1134"/>
      <c r="AK129" s="2153">
        <v>11</v>
      </c>
    </row>
    <row s="51564" customFormat="1" customHeight="1" ht="11.549999999999999">
      <c r="A130" s="1499"/>
      <c r="B130" s="1499"/>
      <c r="C130" s="1499"/>
      <c r="D130" s="1499"/>
      <c r="E130" s="1499"/>
      <c r="F130" s="2148"/>
      <c r="G130" s="2148"/>
      <c r="H130" s="863"/>
      <c r="N130" s="1878"/>
      <c r="P130" s="1878"/>
      <c r="Q130" s="2148"/>
      <c r="R130" s="2148"/>
      <c r="S130" s="1878"/>
      <c r="T130" s="1878"/>
      <c r="U130" s="1878"/>
      <c r="V130" s="1878"/>
      <c r="W130" s="2148"/>
      <c r="X130" s="1878"/>
      <c r="Y130" s="1878"/>
      <c r="Z130" s="1056"/>
      <c r="AA130" s="1878"/>
      <c r="AB130" s="1878"/>
      <c r="AC130" s="1878"/>
      <c r="AD130" s="1878"/>
      <c r="AE130" s="1878"/>
      <c r="AF130" s="2144"/>
      <c r="AG130" s="1134"/>
      <c r="AH130" s="1134"/>
      <c r="AI130" s="1134"/>
      <c r="AJ130" s="1134"/>
      <c r="AK130" s="2153">
        <v>11</v>
      </c>
    </row>
    <row s="51564" customFormat="1" customHeight="1" ht="11.549999999999999">
      <c r="A131" s="1499"/>
      <c r="B131" s="1499"/>
      <c r="C131" s="1499"/>
      <c r="D131" s="1499"/>
      <c r="E131" s="1499"/>
      <c r="F131" s="2148"/>
      <c r="G131" s="2148"/>
      <c r="H131" s="863"/>
      <c r="N131" s="1878"/>
      <c r="P131" s="1878"/>
      <c r="Q131" s="2148"/>
      <c r="R131" s="2148"/>
      <c r="S131" s="1878"/>
      <c r="T131" s="1878"/>
      <c r="U131" s="1878"/>
      <c r="V131" s="1878"/>
      <c r="W131" s="2148"/>
      <c r="X131" s="1878"/>
      <c r="Y131" s="1878"/>
      <c r="Z131" s="1056"/>
      <c r="AA131" s="1878"/>
      <c r="AB131" s="1878"/>
      <c r="AC131" s="1878"/>
      <c r="AD131" s="1878"/>
      <c r="AE131" s="1878"/>
      <c r="AF131" s="2144"/>
      <c r="AG131" s="1134"/>
      <c r="AH131" s="1134"/>
      <c r="AI131" s="1134"/>
      <c r="AJ131" s="1134"/>
      <c r="AK131" s="2153">
        <v>11</v>
      </c>
    </row>
    <row s="51564" customFormat="1" customHeight="1" ht="11.549999999999999">
      <c r="A132" s="1499"/>
      <c r="B132" s="1499"/>
      <c r="C132" s="1499"/>
      <c r="D132" s="1499"/>
      <c r="E132" s="1499"/>
      <c r="F132" s="2148"/>
      <c r="G132" s="2148"/>
      <c r="H132" s="863"/>
      <c r="N132" s="1878"/>
      <c r="P132" s="1878"/>
      <c r="Q132" s="2148"/>
      <c r="R132" s="2148"/>
      <c r="S132" s="1878"/>
      <c r="T132" s="1878"/>
      <c r="U132" s="1878"/>
      <c r="V132" s="1878"/>
      <c r="W132" s="2148"/>
      <c r="X132" s="1878"/>
      <c r="Y132" s="1878"/>
      <c r="Z132" s="1056"/>
      <c r="AA132" s="1878"/>
      <c r="AB132" s="1878"/>
      <c r="AC132" s="1878"/>
      <c r="AD132" s="1878"/>
      <c r="AE132" s="1878"/>
      <c r="AF132" s="2144"/>
      <c r="AG132" s="1134"/>
      <c r="AH132" s="1134"/>
      <c r="AI132" s="1134"/>
      <c r="AJ132" s="1134"/>
      <c r="AK132" s="2153">
        <v>11</v>
      </c>
    </row>
    <row s="51564" customFormat="1" customHeight="1" ht="11.549999999999999">
      <c r="A133" s="1499"/>
      <c r="B133" s="1499"/>
      <c r="C133" s="1499"/>
      <c r="D133" s="1499"/>
      <c r="E133" s="1499"/>
      <c r="F133" s="2148"/>
      <c r="G133" s="2148"/>
      <c r="H133" s="863"/>
      <c r="N133" s="1878"/>
      <c r="P133" s="1878"/>
      <c r="Q133" s="2148"/>
      <c r="R133" s="2148"/>
      <c r="S133" s="1878"/>
      <c r="T133" s="1878"/>
      <c r="U133" s="1878"/>
      <c r="V133" s="1878"/>
      <c r="W133" s="2148"/>
      <c r="X133" s="1878"/>
      <c r="Y133" s="1878"/>
      <c r="Z133" s="1056"/>
      <c r="AA133" s="1878"/>
      <c r="AB133" s="1878"/>
      <c r="AC133" s="1878"/>
      <c r="AD133" s="1878"/>
      <c r="AE133" s="1878"/>
      <c r="AF133" s="2144"/>
      <c r="AG133" s="1134"/>
      <c r="AH133" s="1134"/>
      <c r="AI133" s="1134"/>
      <c r="AJ133" s="1134"/>
      <c r="AK133" s="2153">
        <v>11</v>
      </c>
    </row>
    <row s="51564" customFormat="1" customHeight="1" ht="11.549999999999999">
      <c r="A134" s="1499"/>
      <c r="B134" s="1499"/>
      <c r="C134" s="1499"/>
      <c r="D134" s="1499"/>
      <c r="E134" s="1499"/>
      <c r="F134" s="2148"/>
      <c r="G134" s="2148"/>
      <c r="H134" s="863"/>
      <c r="N134" s="1878"/>
      <c r="P134" s="1878"/>
      <c r="Q134" s="2148"/>
      <c r="R134" s="2148"/>
      <c r="S134" s="1878"/>
      <c r="T134" s="1878"/>
      <c r="U134" s="1878"/>
      <c r="V134" s="1878"/>
      <c r="W134" s="2148"/>
      <c r="X134" s="1878"/>
      <c r="Y134" s="1878"/>
      <c r="Z134" s="1056"/>
      <c r="AA134" s="1878"/>
      <c r="AB134" s="1878"/>
      <c r="AC134" s="1878"/>
      <c r="AD134" s="1878"/>
      <c r="AE134" s="1878"/>
      <c r="AF134" s="2144"/>
      <c r="AG134" s="1134"/>
      <c r="AH134" s="1134"/>
      <c r="AI134" s="1134"/>
      <c r="AJ134" s="1134"/>
      <c r="AK134" s="2153">
        <v>11</v>
      </c>
    </row>
    <row s="51564" customFormat="1" customHeight="1" ht="11.549999999999999">
      <c r="A135" s="1499"/>
      <c r="B135" s="1499"/>
      <c r="C135" s="1499"/>
      <c r="D135" s="1499"/>
      <c r="E135" s="1499"/>
      <c r="F135" s="2148"/>
      <c r="G135" s="2148"/>
      <c r="H135" s="863"/>
      <c r="N135" s="1878"/>
      <c r="P135" s="1878"/>
      <c r="Q135" s="2148"/>
      <c r="R135" s="2148"/>
      <c r="S135" s="1878"/>
      <c r="T135" s="1878"/>
      <c r="U135" s="1878"/>
      <c r="V135" s="1878"/>
      <c r="W135" s="2148"/>
      <c r="X135" s="1878"/>
      <c r="Y135" s="1878"/>
      <c r="Z135" s="1056"/>
      <c r="AA135" s="1878"/>
      <c r="AB135" s="1878"/>
      <c r="AC135" s="1878"/>
      <c r="AD135" s="1878"/>
      <c r="AE135" s="1878"/>
      <c r="AF135" s="2144"/>
      <c r="AG135" s="1134"/>
      <c r="AH135" s="1134"/>
      <c r="AI135" s="1134"/>
      <c r="AJ135" s="1134"/>
      <c r="AK135" s="2153">
        <v>11</v>
      </c>
    </row>
    <row s="51564" customFormat="1" customHeight="1" ht="11.549999999999999">
      <c r="A136" s="1499"/>
      <c r="B136" s="1499"/>
      <c r="C136" s="1499"/>
      <c r="D136" s="1499"/>
      <c r="E136" s="1499"/>
      <c r="F136" s="2148"/>
      <c r="G136" s="2148"/>
      <c r="H136" s="863"/>
      <c r="N136" s="1878"/>
      <c r="P136" s="1878"/>
      <c r="Q136" s="2148"/>
      <c r="R136" s="2148"/>
      <c r="S136" s="1878"/>
      <c r="T136" s="1878"/>
      <c r="U136" s="1878"/>
      <c r="V136" s="1878"/>
      <c r="W136" s="2148"/>
      <c r="X136" s="1878"/>
      <c r="Y136" s="1878"/>
      <c r="Z136" s="1056"/>
      <c r="AA136" s="1878"/>
      <c r="AB136" s="1878"/>
      <c r="AC136" s="1878"/>
      <c r="AD136" s="1878"/>
      <c r="AE136" s="1878"/>
      <c r="AF136" s="2144"/>
      <c r="AG136" s="1134"/>
      <c r="AH136" s="1134"/>
      <c r="AI136" s="1134"/>
      <c r="AJ136" s="1134"/>
      <c r="AK136" s="2153">
        <v>11</v>
      </c>
    </row>
    <row s="51564" customFormat="1" customHeight="1" ht="11.549999999999999">
      <c r="A137" s="1499"/>
      <c r="B137" s="1499"/>
      <c r="C137" s="1499"/>
      <c r="D137" s="1499"/>
      <c r="E137" s="1499"/>
      <c r="F137" s="2148"/>
      <c r="G137" s="2148"/>
      <c r="H137" s="863"/>
      <c r="N137" s="1878"/>
      <c r="P137" s="1878"/>
      <c r="Q137" s="2148"/>
      <c r="R137" s="2148"/>
      <c r="S137" s="1878"/>
      <c r="T137" s="1878"/>
      <c r="U137" s="1878"/>
      <c r="V137" s="1878"/>
      <c r="W137" s="2148"/>
      <c r="X137" s="1878"/>
      <c r="Y137" s="1878"/>
      <c r="Z137" s="1056"/>
      <c r="AA137" s="1878"/>
      <c r="AB137" s="1878"/>
      <c r="AC137" s="1878"/>
      <c r="AD137" s="1878"/>
      <c r="AE137" s="1878"/>
      <c r="AF137" s="2144"/>
      <c r="AG137" s="1134"/>
      <c r="AH137" s="1134"/>
      <c r="AI137" s="1134"/>
      <c r="AJ137" s="1134"/>
      <c r="AK137" s="2153">
        <v>11</v>
      </c>
    </row>
    <row s="51564" customFormat="1" customHeight="1" ht="11.549999999999999">
      <c r="A138" s="1499"/>
      <c r="B138" s="1499"/>
      <c r="C138" s="1499"/>
      <c r="D138" s="1499"/>
      <c r="E138" s="1499"/>
      <c r="F138" s="2148"/>
      <c r="G138" s="2148"/>
      <c r="H138" s="863"/>
      <c r="N138" s="1878"/>
      <c r="P138" s="1878"/>
      <c r="Q138" s="2148"/>
      <c r="R138" s="2148"/>
      <c r="S138" s="1878"/>
      <c r="T138" s="1878"/>
      <c r="U138" s="1878"/>
      <c r="V138" s="1878"/>
      <c r="W138" s="2148"/>
      <c r="X138" s="1878"/>
      <c r="Y138" s="1878"/>
      <c r="Z138" s="1056"/>
      <c r="AA138" s="1878"/>
      <c r="AB138" s="1878"/>
      <c r="AC138" s="1878"/>
      <c r="AD138" s="1878"/>
      <c r="AE138" s="1878"/>
      <c r="AF138" s="2144"/>
      <c r="AG138" s="1134"/>
      <c r="AH138" s="1134"/>
      <c r="AI138" s="1134"/>
      <c r="AJ138" s="1134"/>
      <c r="AK138" s="2153">
        <v>11</v>
      </c>
    </row>
    <row s="51564" customFormat="1" customHeight="1" ht="11.549999999999999">
      <c r="A139" s="1499"/>
      <c r="B139" s="1499"/>
      <c r="C139" s="1499"/>
      <c r="D139" s="1499"/>
      <c r="E139" s="1499"/>
      <c r="F139" s="2148"/>
      <c r="G139" s="2148"/>
      <c r="H139" s="863"/>
      <c r="N139" s="1878"/>
      <c r="P139" s="1878"/>
      <c r="Q139" s="2148"/>
      <c r="R139" s="2148"/>
      <c r="S139" s="1878"/>
      <c r="T139" s="1878"/>
      <c r="U139" s="1878"/>
      <c r="V139" s="1878"/>
      <c r="W139" s="2148"/>
      <c r="X139" s="1878"/>
      <c r="Y139" s="1878"/>
      <c r="Z139" s="1056"/>
      <c r="AA139" s="1878"/>
      <c r="AB139" s="1878"/>
      <c r="AC139" s="1878"/>
      <c r="AD139" s="1878"/>
      <c r="AE139" s="1878"/>
      <c r="AF139" s="2144"/>
      <c r="AG139" s="1134"/>
      <c r="AH139" s="1134"/>
      <c r="AI139" s="1134"/>
      <c r="AJ139" s="1134"/>
      <c r="AK139" s="2153">
        <v>11</v>
      </c>
    </row>
    <row s="51564" customFormat="1" customHeight="1" ht="11.549999999999999">
      <c r="A140" s="1499"/>
      <c r="B140" s="1499"/>
      <c r="C140" s="1499"/>
      <c r="D140" s="1499"/>
      <c r="E140" s="1499"/>
      <c r="F140" s="2148"/>
      <c r="G140" s="2148"/>
      <c r="H140" s="863"/>
      <c r="N140" s="1878"/>
      <c r="P140" s="1878"/>
      <c r="Q140" s="2148"/>
      <c r="R140" s="2148"/>
      <c r="S140" s="1878"/>
      <c r="T140" s="1878"/>
      <c r="U140" s="1878"/>
      <c r="V140" s="1878"/>
      <c r="W140" s="2148"/>
      <c r="X140" s="1878"/>
      <c r="Y140" s="1878"/>
      <c r="Z140" s="1056"/>
      <c r="AA140" s="1878"/>
      <c r="AB140" s="1878"/>
      <c r="AC140" s="1878"/>
      <c r="AD140" s="1878"/>
      <c r="AE140" s="1878"/>
      <c r="AF140" s="2144"/>
      <c r="AG140" s="1134"/>
      <c r="AH140" s="1134"/>
      <c r="AI140" s="1134"/>
      <c r="AJ140" s="1134"/>
      <c r="AK140" s="2153">
        <v>11</v>
      </c>
    </row>
    <row s="51564" customFormat="1" customHeight="1" ht="11.549999999999999">
      <c r="A141" s="1499"/>
      <c r="B141" s="1499"/>
      <c r="C141" s="1499"/>
      <c r="D141" s="1499"/>
      <c r="E141" s="1499"/>
      <c r="F141" s="2148"/>
      <c r="G141" s="2148"/>
      <c r="H141" s="863"/>
      <c r="N141" s="1878"/>
      <c r="P141" s="1878"/>
      <c r="Q141" s="2148"/>
      <c r="R141" s="2148"/>
      <c r="S141" s="1878"/>
      <c r="T141" s="1878"/>
      <c r="U141" s="1878"/>
      <c r="V141" s="1878"/>
      <c r="W141" s="2148"/>
      <c r="X141" s="1878"/>
      <c r="Y141" s="1878"/>
      <c r="Z141" s="1056"/>
      <c r="AA141" s="1878"/>
      <c r="AB141" s="1878"/>
      <c r="AC141" s="1878"/>
      <c r="AD141" s="1878"/>
      <c r="AE141" s="1878"/>
      <c r="AF141" s="2144"/>
      <c r="AG141" s="1134"/>
      <c r="AH141" s="1134"/>
      <c r="AI141" s="1134"/>
      <c r="AJ141" s="1134"/>
      <c r="AK141" s="2153">
        <v>11</v>
      </c>
    </row>
    <row s="51564" customFormat="1" customHeight="1" ht="11.549999999999999">
      <c r="A142" s="1499"/>
      <c r="B142" s="1499"/>
      <c r="C142" s="1499"/>
      <c r="D142" s="1499"/>
      <c r="E142" s="1499"/>
      <c r="F142" s="2148"/>
      <c r="G142" s="2148"/>
      <c r="H142" s="863"/>
      <c r="N142" s="1878"/>
      <c r="P142" s="1878"/>
      <c r="Q142" s="2148"/>
      <c r="R142" s="2148"/>
      <c r="S142" s="1878"/>
      <c r="T142" s="1878"/>
      <c r="U142" s="1878"/>
      <c r="V142" s="1878"/>
      <c r="W142" s="2148"/>
      <c r="X142" s="1878"/>
      <c r="Y142" s="1878"/>
      <c r="Z142" s="1056"/>
      <c r="AA142" s="1878"/>
      <c r="AB142" s="1878"/>
      <c r="AC142" s="1878"/>
      <c r="AD142" s="1878"/>
      <c r="AE142" s="1878"/>
      <c r="AF142" s="2144"/>
      <c r="AG142" s="1134"/>
      <c r="AH142" s="1134"/>
      <c r="AI142" s="1134"/>
      <c r="AJ142" s="1134"/>
      <c r="AK142" s="2153">
        <v>11</v>
      </c>
    </row>
    <row s="51564" customFormat="1" customHeight="1" ht="11.549999999999999">
      <c r="A143" s="1499"/>
      <c r="B143" s="1499"/>
      <c r="C143" s="1499"/>
      <c r="D143" s="1499"/>
      <c r="E143" s="1499"/>
      <c r="F143" s="2148"/>
      <c r="G143" s="2148"/>
      <c r="H143" s="863"/>
      <c r="N143" s="1878"/>
      <c r="P143" s="1878"/>
      <c r="Q143" s="2148"/>
      <c r="R143" s="2148"/>
      <c r="S143" s="1878"/>
      <c r="T143" s="1878"/>
      <c r="U143" s="1878"/>
      <c r="V143" s="1878"/>
      <c r="W143" s="2148"/>
      <c r="X143" s="1878"/>
      <c r="Y143" s="1878"/>
      <c r="Z143" s="1056"/>
      <c r="AA143" s="1878"/>
      <c r="AB143" s="1878"/>
      <c r="AC143" s="1878"/>
      <c r="AD143" s="1878"/>
      <c r="AE143" s="1878"/>
      <c r="AF143" s="2144"/>
      <c r="AG143" s="1134"/>
      <c r="AH143" s="1134"/>
      <c r="AI143" s="1134"/>
      <c r="AJ143" s="1134"/>
      <c r="AK143" s="2153">
        <v>11</v>
      </c>
    </row>
    <row s="51564" customFormat="1" customHeight="1" ht="11.549999999999999">
      <c r="A144" s="1499"/>
      <c r="B144" s="1499"/>
      <c r="C144" s="1499"/>
      <c r="D144" s="1499"/>
      <c r="E144" s="1499"/>
      <c r="F144" s="2148"/>
      <c r="G144" s="2148"/>
      <c r="H144" s="863"/>
      <c r="N144" s="1878"/>
      <c r="P144" s="1878"/>
      <c r="Q144" s="2148"/>
      <c r="R144" s="2148"/>
      <c r="S144" s="1878"/>
      <c r="T144" s="1878"/>
      <c r="U144" s="1878"/>
      <c r="V144" s="1878"/>
      <c r="W144" s="2148"/>
      <c r="X144" s="1878"/>
      <c r="Y144" s="1878"/>
      <c r="Z144" s="1056"/>
      <c r="AA144" s="1878"/>
      <c r="AB144" s="1878"/>
      <c r="AC144" s="1878"/>
      <c r="AD144" s="1878"/>
      <c r="AE144" s="1878"/>
      <c r="AF144" s="2144"/>
      <c r="AG144" s="1134"/>
      <c r="AH144" s="1134"/>
      <c r="AI144" s="1134"/>
      <c r="AJ144" s="1134"/>
      <c r="AK144" s="2153">
        <v>11</v>
      </c>
    </row>
    <row s="51564" customFormat="1" customHeight="1" ht="11.549999999999999">
      <c r="A145" s="1499"/>
      <c r="B145" s="1499"/>
      <c r="C145" s="1499"/>
      <c r="D145" s="1499"/>
      <c r="E145" s="1499"/>
      <c r="F145" s="2148"/>
      <c r="G145" s="2148"/>
      <c r="H145" s="863"/>
      <c r="N145" s="1878"/>
      <c r="P145" s="1878"/>
      <c r="Q145" s="2148"/>
      <c r="R145" s="2148"/>
      <c r="S145" s="1878"/>
      <c r="T145" s="1878"/>
      <c r="U145" s="1878"/>
      <c r="V145" s="1878"/>
      <c r="W145" s="2148"/>
      <c r="X145" s="1878"/>
      <c r="Y145" s="1878"/>
      <c r="Z145" s="1056"/>
      <c r="AA145" s="1878"/>
      <c r="AB145" s="1878"/>
      <c r="AC145" s="1878"/>
      <c r="AD145" s="1878"/>
      <c r="AE145" s="1878"/>
      <c r="AF145" s="2144"/>
      <c r="AG145" s="1134"/>
      <c r="AH145" s="1134"/>
      <c r="AI145" s="1134"/>
      <c r="AJ145" s="1134"/>
      <c r="AK145" s="2153">
        <v>11</v>
      </c>
    </row>
    <row s="51564" customFormat="1" customHeight="1" ht="11.549999999999999">
      <c r="A146" s="1499"/>
      <c r="B146" s="1499"/>
      <c r="C146" s="1499"/>
      <c r="D146" s="1499"/>
      <c r="E146" s="1499"/>
      <c r="F146" s="2148"/>
      <c r="G146" s="2148"/>
      <c r="H146" s="863"/>
      <c r="N146" s="1878"/>
      <c r="P146" s="1878"/>
      <c r="Q146" s="2148"/>
      <c r="R146" s="2148"/>
      <c r="S146" s="1878"/>
      <c r="T146" s="1878"/>
      <c r="U146" s="1878"/>
      <c r="V146" s="1878"/>
      <c r="W146" s="2148"/>
      <c r="X146" s="1878"/>
      <c r="Y146" s="1878"/>
      <c r="Z146" s="1056"/>
      <c r="AA146" s="1878"/>
      <c r="AB146" s="1878"/>
      <c r="AC146" s="1878"/>
      <c r="AD146" s="1878"/>
      <c r="AE146" s="1878"/>
      <c r="AF146" s="2144"/>
      <c r="AG146" s="1134"/>
      <c r="AH146" s="1134"/>
      <c r="AI146" s="1134"/>
      <c r="AJ146" s="1134"/>
      <c r="AK146" s="2153">
        <v>11</v>
      </c>
    </row>
    <row s="51564" customFormat="1" customHeight="1" ht="11.549999999999999">
      <c r="A147" s="1499"/>
      <c r="B147" s="1499"/>
      <c r="C147" s="1499"/>
      <c r="D147" s="1499"/>
      <c r="E147" s="1499"/>
      <c r="F147" s="2148"/>
      <c r="G147" s="2148"/>
      <c r="H147" s="863"/>
      <c r="N147" s="1878"/>
      <c r="P147" s="1878"/>
      <c r="Q147" s="2148"/>
      <c r="R147" s="2148"/>
      <c r="S147" s="1878"/>
      <c r="T147" s="1878"/>
      <c r="U147" s="1878"/>
      <c r="V147" s="1878"/>
      <c r="W147" s="2148"/>
      <c r="X147" s="1878"/>
      <c r="Y147" s="1878"/>
      <c r="Z147" s="1056"/>
      <c r="AA147" s="1878"/>
      <c r="AB147" s="1878"/>
      <c r="AC147" s="1878"/>
      <c r="AD147" s="1878"/>
      <c r="AE147" s="1878"/>
      <c r="AF147" s="2144"/>
      <c r="AG147" s="1134"/>
      <c r="AH147" s="1134"/>
      <c r="AI147" s="1134"/>
      <c r="AJ147" s="1134"/>
      <c r="AK147" s="2153">
        <v>11</v>
      </c>
    </row>
    <row s="51564" customFormat="1" customHeight="1" ht="11.549999999999999">
      <c r="A148" s="1499"/>
      <c r="B148" s="1499"/>
      <c r="C148" s="1499"/>
      <c r="D148" s="1499"/>
      <c r="E148" s="1499"/>
      <c r="F148" s="2148"/>
      <c r="G148" s="2148"/>
      <c r="H148" s="863"/>
      <c r="N148" s="1878"/>
      <c r="P148" s="1878"/>
      <c r="Q148" s="2148"/>
      <c r="R148" s="2148"/>
      <c r="S148" s="1878"/>
      <c r="T148" s="1878"/>
      <c r="U148" s="1878"/>
      <c r="V148" s="1878"/>
      <c r="W148" s="2148"/>
      <c r="X148" s="1878"/>
      <c r="Y148" s="1878"/>
      <c r="Z148" s="1056"/>
      <c r="AA148" s="1878"/>
      <c r="AB148" s="1878"/>
      <c r="AC148" s="1878"/>
      <c r="AD148" s="1878"/>
      <c r="AE148" s="1878"/>
      <c r="AF148" s="2144"/>
      <c r="AG148" s="1134"/>
      <c r="AH148" s="1134"/>
      <c r="AI148" s="1134"/>
      <c r="AJ148" s="1134"/>
      <c r="AK148" s="2153">
        <v>11</v>
      </c>
    </row>
    <row s="51564" customFormat="1" customHeight="1" ht="11.549999999999999">
      <c r="A149" s="1499"/>
      <c r="B149" s="1499"/>
      <c r="C149" s="1499"/>
      <c r="D149" s="1499"/>
      <c r="E149" s="1499"/>
      <c r="F149" s="2148"/>
      <c r="G149" s="2148"/>
      <c r="H149" s="863"/>
      <c r="N149" s="1878"/>
      <c r="P149" s="1878"/>
      <c r="Q149" s="2148"/>
      <c r="R149" s="2148"/>
      <c r="S149" s="1878"/>
      <c r="T149" s="1878"/>
      <c r="U149" s="1878"/>
      <c r="V149" s="1878"/>
      <c r="W149" s="2148"/>
      <c r="X149" s="1878"/>
      <c r="Y149" s="1878"/>
      <c r="Z149" s="1056"/>
      <c r="AA149" s="1878"/>
      <c r="AB149" s="1878"/>
      <c r="AC149" s="1878"/>
      <c r="AD149" s="1878"/>
      <c r="AE149" s="1878"/>
      <c r="AF149" s="2144"/>
      <c r="AG149" s="1134"/>
      <c r="AH149" s="1134"/>
      <c r="AI149" s="1134"/>
      <c r="AJ149" s="1134"/>
      <c r="AK149" s="2153">
        <v>11</v>
      </c>
    </row>
    <row s="51564" customFormat="1" customHeight="1" ht="11.549999999999999">
      <c r="A150" s="1499"/>
      <c r="B150" s="1499"/>
      <c r="C150" s="1499"/>
      <c r="D150" s="1499"/>
      <c r="E150" s="1499"/>
      <c r="F150" s="2148"/>
      <c r="G150" s="2148"/>
      <c r="H150" s="863"/>
      <c r="N150" s="1878"/>
      <c r="P150" s="1878"/>
      <c r="Q150" s="2148"/>
      <c r="R150" s="2148"/>
      <c r="S150" s="1878"/>
      <c r="T150" s="1878"/>
      <c r="U150" s="1878"/>
      <c r="V150" s="1878"/>
      <c r="W150" s="2148"/>
      <c r="X150" s="1878"/>
      <c r="Y150" s="1878"/>
      <c r="Z150" s="1056"/>
      <c r="AA150" s="1878"/>
      <c r="AB150" s="1878"/>
      <c r="AC150" s="1878"/>
      <c r="AD150" s="1878"/>
      <c r="AE150" s="1878"/>
      <c r="AF150" s="2144"/>
      <c r="AG150" s="1134"/>
      <c r="AH150" s="1134"/>
      <c r="AI150" s="1134"/>
      <c r="AJ150" s="1134"/>
      <c r="AK150" s="2153">
        <v>11</v>
      </c>
    </row>
    <row s="51564" customFormat="1" customHeight="1" ht="11.549999999999999">
      <c r="A151" s="1499"/>
      <c r="B151" s="1499"/>
      <c r="C151" s="1499"/>
      <c r="D151" s="1499"/>
      <c r="E151" s="1499"/>
      <c r="F151" s="2148"/>
      <c r="G151" s="2148"/>
      <c r="H151" s="863"/>
      <c r="N151" s="1878"/>
      <c r="P151" s="1878"/>
      <c r="Q151" s="2148"/>
      <c r="R151" s="2148"/>
      <c r="S151" s="1878"/>
      <c r="T151" s="1878"/>
      <c r="U151" s="1878"/>
      <c r="V151" s="1878"/>
      <c r="W151" s="2148"/>
      <c r="X151" s="1878"/>
      <c r="Y151" s="1878"/>
      <c r="Z151" s="1056"/>
      <c r="AA151" s="1878"/>
      <c r="AB151" s="1878"/>
      <c r="AC151" s="1878"/>
      <c r="AD151" s="1878"/>
      <c r="AE151" s="1878"/>
      <c r="AF151" s="2144"/>
      <c r="AG151" s="1134"/>
      <c r="AH151" s="1134"/>
      <c r="AI151" s="1134"/>
      <c r="AJ151" s="1134"/>
      <c r="AK151" s="2153">
        <v>11</v>
      </c>
    </row>
    <row s="51564" customFormat="1" customHeight="1" ht="11.549999999999999">
      <c r="A152" s="1499"/>
      <c r="B152" s="1499"/>
      <c r="C152" s="1499"/>
      <c r="D152" s="1499"/>
      <c r="E152" s="1499"/>
      <c r="F152" s="2148"/>
      <c r="G152" s="2148"/>
      <c r="H152" s="863"/>
      <c r="N152" s="1878"/>
      <c r="P152" s="1878"/>
      <c r="Q152" s="2148"/>
      <c r="R152" s="2148"/>
      <c r="S152" s="1878"/>
      <c r="T152" s="1878"/>
      <c r="U152" s="1878"/>
      <c r="V152" s="1878"/>
      <c r="W152" s="2148"/>
      <c r="X152" s="1878"/>
      <c r="Y152" s="1878"/>
      <c r="Z152" s="1056"/>
      <c r="AA152" s="1878"/>
      <c r="AB152" s="1878"/>
      <c r="AC152" s="1878"/>
      <c r="AD152" s="1878"/>
      <c r="AE152" s="1878"/>
      <c r="AF152" s="2144"/>
      <c r="AG152" s="1134"/>
      <c r="AH152" s="1134"/>
      <c r="AI152" s="1134"/>
      <c r="AJ152" s="1134"/>
      <c r="AK152" s="2153">
        <v>11</v>
      </c>
    </row>
    <row s="51564" customFormat="1" customHeight="1" ht="11.549999999999999">
      <c r="A153" s="1499"/>
      <c r="B153" s="1499"/>
      <c r="C153" s="1499"/>
      <c r="D153" s="1499"/>
      <c r="E153" s="1499"/>
      <c r="F153" s="2148"/>
      <c r="G153" s="2148"/>
      <c r="H153" s="863"/>
      <c r="N153" s="1878"/>
      <c r="P153" s="1878"/>
      <c r="Q153" s="2148"/>
      <c r="R153" s="2148"/>
      <c r="S153" s="1878"/>
      <c r="T153" s="1878"/>
      <c r="U153" s="1878"/>
      <c r="V153" s="1878"/>
      <c r="W153" s="2148"/>
      <c r="X153" s="1878"/>
      <c r="Y153" s="1878"/>
      <c r="Z153" s="1056"/>
      <c r="AA153" s="1878"/>
      <c r="AB153" s="1878"/>
      <c r="AC153" s="1878"/>
      <c r="AD153" s="1878"/>
      <c r="AE153" s="1878"/>
      <c r="AF153" s="2144"/>
      <c r="AG153" s="1134"/>
      <c r="AH153" s="1134"/>
      <c r="AI153" s="1134"/>
      <c r="AJ153" s="1134"/>
      <c r="AK153" s="2153">
        <v>11</v>
      </c>
    </row>
    <row s="51564" customFormat="1" customHeight="1" ht="11.549999999999999">
      <c r="A154" s="1499"/>
      <c r="B154" s="1499"/>
      <c r="C154" s="1499"/>
      <c r="D154" s="1499"/>
      <c r="E154" s="1499"/>
      <c r="F154" s="2148"/>
      <c r="G154" s="2148"/>
      <c r="H154" s="863"/>
      <c r="N154" s="1878"/>
      <c r="P154" s="1878"/>
      <c r="Q154" s="2148"/>
      <c r="R154" s="2148"/>
      <c r="S154" s="1878"/>
      <c r="T154" s="1878"/>
      <c r="U154" s="1878"/>
      <c r="V154" s="1878"/>
      <c r="W154" s="2148"/>
      <c r="X154" s="1878"/>
      <c r="Y154" s="1878"/>
      <c r="Z154" s="1056"/>
      <c r="AA154" s="1878"/>
      <c r="AB154" s="1878"/>
      <c r="AC154" s="1878"/>
      <c r="AD154" s="1878"/>
      <c r="AE154" s="1878"/>
      <c r="AF154" s="2144"/>
      <c r="AG154" s="1134"/>
      <c r="AH154" s="1134"/>
      <c r="AI154" s="1134"/>
      <c r="AJ154" s="1134"/>
      <c r="AK154" s="2153">
        <v>11</v>
      </c>
    </row>
    <row s="51564" customFormat="1" customHeight="1" ht="11.549999999999999">
      <c r="A155" s="1499"/>
      <c r="B155" s="1499"/>
      <c r="C155" s="1499"/>
      <c r="D155" s="1499"/>
      <c r="E155" s="1499"/>
      <c r="F155" s="2148"/>
      <c r="G155" s="2148"/>
      <c r="H155" s="863"/>
      <c r="N155" s="1878"/>
      <c r="P155" s="1878"/>
      <c r="Q155" s="2148"/>
      <c r="R155" s="2148"/>
      <c r="S155" s="1878"/>
      <c r="T155" s="1878"/>
      <c r="U155" s="1878"/>
      <c r="V155" s="1878"/>
      <c r="W155" s="2148"/>
      <c r="X155" s="1878"/>
      <c r="Y155" s="1878"/>
      <c r="Z155" s="1056"/>
      <c r="AA155" s="1878"/>
      <c r="AB155" s="1878"/>
      <c r="AC155" s="1878"/>
      <c r="AD155" s="1878"/>
      <c r="AE155" s="1878"/>
      <c r="AF155" s="2144"/>
      <c r="AG155" s="1134"/>
      <c r="AH155" s="1134"/>
      <c r="AI155" s="1134"/>
      <c r="AJ155" s="1134"/>
      <c r="AK155" s="2153">
        <v>11</v>
      </c>
    </row>
    <row s="51564" customFormat="1" customHeight="1" ht="11.549999999999999">
      <c r="A156" s="1499"/>
      <c r="B156" s="1499"/>
      <c r="C156" s="1499"/>
      <c r="D156" s="1499"/>
      <c r="E156" s="1499"/>
      <c r="F156" s="2148"/>
      <c r="G156" s="2148"/>
      <c r="H156" s="863"/>
      <c r="N156" s="1878"/>
      <c r="P156" s="1878"/>
      <c r="Q156" s="2148"/>
      <c r="R156" s="2148"/>
      <c r="S156" s="1878"/>
      <c r="T156" s="1878"/>
      <c r="U156" s="1878"/>
      <c r="V156" s="1878"/>
      <c r="W156" s="2148"/>
      <c r="X156" s="1878"/>
      <c r="Y156" s="1878"/>
      <c r="Z156" s="1056"/>
      <c r="AA156" s="1878"/>
      <c r="AB156" s="1878"/>
      <c r="AC156" s="1878"/>
      <c r="AD156" s="1878"/>
      <c r="AE156" s="1878"/>
      <c r="AF156" s="2144"/>
      <c r="AG156" s="1134"/>
      <c r="AH156" s="1134"/>
      <c r="AI156" s="1134"/>
      <c r="AJ156" s="1134"/>
      <c r="AK156" s="2153">
        <v>11</v>
      </c>
    </row>
    <row s="51564" customFormat="1" customHeight="1" ht="11.549999999999999">
      <c r="A157" s="1499"/>
      <c r="B157" s="1499"/>
      <c r="C157" s="1499"/>
      <c r="D157" s="1499"/>
      <c r="E157" s="1499"/>
      <c r="F157" s="2148"/>
      <c r="G157" s="2148"/>
      <c r="H157" s="863"/>
      <c r="N157" s="1878"/>
      <c r="P157" s="1878"/>
      <c r="Q157" s="2148"/>
      <c r="R157" s="2148"/>
      <c r="S157" s="1878"/>
      <c r="T157" s="1878"/>
      <c r="U157" s="1878"/>
      <c r="V157" s="1878"/>
      <c r="W157" s="2148"/>
      <c r="X157" s="1878"/>
      <c r="Y157" s="1878"/>
      <c r="Z157" s="1056"/>
      <c r="AA157" s="1878"/>
      <c r="AB157" s="1878"/>
      <c r="AC157" s="1878"/>
      <c r="AD157" s="1878"/>
      <c r="AE157" s="1878"/>
      <c r="AF157" s="2144"/>
      <c r="AG157" s="1134"/>
      <c r="AH157" s="1134"/>
      <c r="AI157" s="1134"/>
      <c r="AJ157" s="1134"/>
      <c r="AK157" s="2153">
        <v>11</v>
      </c>
    </row>
    <row s="51564" customFormat="1" customHeight="1" ht="11.549999999999999">
      <c r="A158" s="1499"/>
      <c r="B158" s="1499"/>
      <c r="C158" s="1499"/>
      <c r="D158" s="1499"/>
      <c r="E158" s="1499"/>
      <c r="F158" s="2148"/>
      <c r="G158" s="2148"/>
      <c r="H158" s="863"/>
      <c r="N158" s="1878"/>
      <c r="P158" s="1878"/>
      <c r="Q158" s="2148"/>
      <c r="R158" s="2148"/>
      <c r="S158" s="1878"/>
      <c r="T158" s="1878"/>
      <c r="U158" s="1878"/>
      <c r="V158" s="1878"/>
      <c r="W158" s="2148"/>
      <c r="X158" s="1878"/>
      <c r="Y158" s="1878"/>
      <c r="Z158" s="1056"/>
      <c r="AA158" s="1878"/>
      <c r="AB158" s="1878"/>
      <c r="AC158" s="1878"/>
      <c r="AD158" s="1878"/>
      <c r="AE158" s="1878"/>
      <c r="AF158" s="2144"/>
      <c r="AG158" s="1134"/>
      <c r="AH158" s="1134"/>
      <c r="AI158" s="1134"/>
      <c r="AJ158" s="1134"/>
      <c r="AK158" s="2153">
        <v>11</v>
      </c>
    </row>
    <row s="51564" customFormat="1" customHeight="1" ht="11.549999999999999">
      <c r="A159" s="1499"/>
      <c r="B159" s="1499"/>
      <c r="C159" s="1499"/>
      <c r="D159" s="1499"/>
      <c r="E159" s="1499"/>
      <c r="F159" s="2148"/>
      <c r="G159" s="2148"/>
      <c r="H159" s="863"/>
      <c r="N159" s="1878"/>
      <c r="P159" s="1878"/>
      <c r="Q159" s="2148"/>
      <c r="R159" s="2148"/>
      <c r="S159" s="1878"/>
      <c r="T159" s="1878"/>
      <c r="U159" s="1878"/>
      <c r="V159" s="1878"/>
      <c r="W159" s="2148"/>
      <c r="X159" s="1878"/>
      <c r="Y159" s="1878"/>
      <c r="Z159" s="1056"/>
      <c r="AA159" s="1878"/>
      <c r="AB159" s="1878"/>
      <c r="AC159" s="1878"/>
      <c r="AD159" s="1878"/>
      <c r="AE159" s="1878"/>
      <c r="AF159" s="2144"/>
      <c r="AG159" s="1134"/>
      <c r="AH159" s="1134"/>
      <c r="AI159" s="1134"/>
      <c r="AJ159" s="1134"/>
      <c r="AK159" s="2153">
        <v>11</v>
      </c>
    </row>
    <row s="51564" customFormat="1" customHeight="1" ht="11.549999999999999">
      <c r="A160" s="1499"/>
      <c r="B160" s="1499"/>
      <c r="C160" s="1499"/>
      <c r="D160" s="1499"/>
      <c r="E160" s="1499"/>
      <c r="F160" s="2148"/>
      <c r="G160" s="2148"/>
      <c r="H160" s="863"/>
      <c r="N160" s="1878"/>
      <c r="P160" s="1878"/>
      <c r="Q160" s="2148"/>
      <c r="R160" s="2148"/>
      <c r="S160" s="1878"/>
      <c r="T160" s="1878"/>
      <c r="U160" s="1878"/>
      <c r="V160" s="1878"/>
      <c r="W160" s="2148"/>
      <c r="X160" s="1878"/>
      <c r="Y160" s="1878"/>
      <c r="Z160" s="1056"/>
      <c r="AA160" s="1878"/>
      <c r="AB160" s="1878"/>
      <c r="AC160" s="1878"/>
      <c r="AD160" s="1878"/>
      <c r="AE160" s="1878"/>
      <c r="AF160" s="2144"/>
      <c r="AG160" s="1134"/>
      <c r="AH160" s="1134"/>
      <c r="AI160" s="1134"/>
      <c r="AJ160" s="1134"/>
      <c r="AK160" s="2153">
        <v>11</v>
      </c>
    </row>
    <row s="51564" customFormat="1" customHeight="1" ht="11.549999999999999">
      <c r="A161" s="1499"/>
      <c r="B161" s="1499"/>
      <c r="C161" s="1499"/>
      <c r="D161" s="1499"/>
      <c r="E161" s="1499"/>
      <c r="F161" s="2148"/>
      <c r="G161" s="2148"/>
      <c r="H161" s="863"/>
      <c r="N161" s="1878"/>
      <c r="P161" s="1878"/>
      <c r="Q161" s="2148"/>
      <c r="R161" s="2148"/>
      <c r="S161" s="1878"/>
      <c r="T161" s="1878"/>
      <c r="U161" s="1878"/>
      <c r="V161" s="1878"/>
      <c r="W161" s="2148"/>
      <c r="X161" s="1878"/>
      <c r="Y161" s="1878"/>
      <c r="Z161" s="1056"/>
      <c r="AA161" s="1878"/>
      <c r="AB161" s="1878"/>
      <c r="AC161" s="1878"/>
      <c r="AD161" s="1878"/>
      <c r="AE161" s="1878"/>
      <c r="AF161" s="2144"/>
      <c r="AG161" s="1134"/>
      <c r="AH161" s="1134"/>
      <c r="AI161" s="1134"/>
      <c r="AJ161" s="1134"/>
      <c r="AK161" s="2153">
        <v>11</v>
      </c>
    </row>
    <row s="51564" customFormat="1" customHeight="1" ht="11.549999999999999">
      <c r="A162" s="1499"/>
      <c r="B162" s="1499"/>
      <c r="C162" s="1499"/>
      <c r="D162" s="1499"/>
      <c r="E162" s="1499"/>
      <c r="F162" s="2148"/>
      <c r="G162" s="2148"/>
      <c r="H162" s="863"/>
      <c r="N162" s="1878"/>
      <c r="P162" s="1878"/>
      <c r="Q162" s="2148"/>
      <c r="R162" s="2148"/>
      <c r="S162" s="1878"/>
      <c r="T162" s="1878"/>
      <c r="U162" s="1878"/>
      <c r="V162" s="1878"/>
      <c r="W162" s="2148"/>
      <c r="X162" s="1878"/>
      <c r="Y162" s="1878"/>
      <c r="Z162" s="1056"/>
      <c r="AA162" s="1878"/>
      <c r="AB162" s="1878"/>
      <c r="AC162" s="1878"/>
      <c r="AD162" s="1878"/>
      <c r="AE162" s="1878"/>
      <c r="AF162" s="2144"/>
      <c r="AG162" s="1134"/>
      <c r="AH162" s="1134"/>
      <c r="AI162" s="1134"/>
      <c r="AJ162" s="1134"/>
      <c r="AK162" s="2153">
        <v>11</v>
      </c>
    </row>
    <row s="51564" customFormat="1" customHeight="1" ht="11.549999999999999">
      <c r="A163" s="1499"/>
      <c r="B163" s="1499"/>
      <c r="C163" s="1499"/>
      <c r="D163" s="1499"/>
      <c r="E163" s="1499"/>
      <c r="F163" s="2148"/>
      <c r="G163" s="2148"/>
      <c r="H163" s="863"/>
      <c r="N163" s="1878"/>
      <c r="P163" s="1878"/>
      <c r="Q163" s="2148"/>
      <c r="R163" s="2148"/>
      <c r="S163" s="1878"/>
      <c r="T163" s="1878"/>
      <c r="U163" s="1878"/>
      <c r="V163" s="1878"/>
      <c r="W163" s="2148"/>
      <c r="X163" s="1878"/>
      <c r="Y163" s="1878"/>
      <c r="Z163" s="1056"/>
      <c r="AA163" s="1878"/>
      <c r="AB163" s="1878"/>
      <c r="AC163" s="1878"/>
      <c r="AD163" s="1878"/>
      <c r="AE163" s="1878"/>
      <c r="AF163" s="2144"/>
      <c r="AG163" s="1134"/>
      <c r="AH163" s="1134"/>
      <c r="AI163" s="1134"/>
      <c r="AJ163" s="1134"/>
      <c r="AK163" s="2153">
        <v>11</v>
      </c>
    </row>
    <row s="51564" customFormat="1" customHeight="1" ht="11.549999999999999">
      <c r="A164" s="1499"/>
      <c r="B164" s="1499"/>
      <c r="C164" s="1499"/>
      <c r="D164" s="1499"/>
      <c r="E164" s="1499"/>
      <c r="F164" s="2148"/>
      <c r="G164" s="2148"/>
      <c r="H164" s="863"/>
      <c r="N164" s="1878"/>
      <c r="P164" s="1878"/>
      <c r="Q164" s="2148"/>
      <c r="R164" s="2148"/>
      <c r="S164" s="1878"/>
      <c r="T164" s="1878"/>
      <c r="U164" s="1878"/>
      <c r="V164" s="1878"/>
      <c r="W164" s="2148"/>
      <c r="X164" s="1878"/>
      <c r="Y164" s="1878"/>
      <c r="Z164" s="1056"/>
      <c r="AA164" s="1878"/>
      <c r="AB164" s="1878"/>
      <c r="AC164" s="1878"/>
      <c r="AD164" s="1878"/>
      <c r="AE164" s="1878"/>
      <c r="AF164" s="2144"/>
      <c r="AG164" s="1134"/>
      <c r="AH164" s="1134"/>
      <c r="AI164" s="1134"/>
      <c r="AJ164" s="1134"/>
      <c r="AK164" s="2153">
        <v>11</v>
      </c>
    </row>
    <row s="51564" customFormat="1" customHeight="1" ht="11.549999999999999">
      <c r="A165" s="1499"/>
      <c r="B165" s="1499"/>
      <c r="C165" s="1499"/>
      <c r="D165" s="1499"/>
      <c r="E165" s="1499"/>
      <c r="F165" s="2148"/>
      <c r="G165" s="2148"/>
      <c r="H165" s="863"/>
      <c r="N165" s="1878"/>
      <c r="P165" s="1878"/>
      <c r="Q165" s="2148"/>
      <c r="R165" s="2148"/>
      <c r="S165" s="1878"/>
      <c r="T165" s="1878"/>
      <c r="U165" s="1878"/>
      <c r="V165" s="1878"/>
      <c r="W165" s="2148"/>
      <c r="X165" s="1878"/>
      <c r="Y165" s="1878"/>
      <c r="Z165" s="1056"/>
      <c r="AA165" s="1878"/>
      <c r="AB165" s="1878"/>
      <c r="AC165" s="1878"/>
      <c r="AD165" s="1878"/>
      <c r="AE165" s="1878"/>
      <c r="AF165" s="2144"/>
      <c r="AG165" s="1134"/>
      <c r="AH165" s="1134"/>
      <c r="AI165" s="1134"/>
      <c r="AJ165" s="1134"/>
      <c r="AK165" s="2153">
        <v>11</v>
      </c>
    </row>
    <row s="51564" customFormat="1" customHeight="1" ht="11.549999999999999">
      <c r="A166" s="1499"/>
      <c r="B166" s="1499"/>
      <c r="C166" s="1499"/>
      <c r="D166" s="1499"/>
      <c r="E166" s="1499"/>
      <c r="F166" s="2148"/>
      <c r="G166" s="2148"/>
      <c r="H166" s="863"/>
      <c r="N166" s="1878"/>
      <c r="P166" s="1878"/>
      <c r="Q166" s="2148"/>
      <c r="R166" s="2148"/>
      <c r="S166" s="1878"/>
      <c r="T166" s="1878"/>
      <c r="U166" s="1878"/>
      <c r="V166" s="1878"/>
      <c r="W166" s="2148"/>
      <c r="X166" s="1878"/>
      <c r="Y166" s="1878"/>
      <c r="Z166" s="1056"/>
      <c r="AA166" s="1878"/>
      <c r="AB166" s="1878"/>
      <c r="AC166" s="1878"/>
      <c r="AD166" s="1878"/>
      <c r="AE166" s="1878"/>
      <c r="AF166" s="2144"/>
      <c r="AG166" s="1134"/>
      <c r="AH166" s="1134"/>
      <c r="AI166" s="1134"/>
      <c r="AJ166" s="1134"/>
      <c r="AK166" s="2153">
        <v>11</v>
      </c>
    </row>
    <row s="51564" customFormat="1" customHeight="1" ht="11.549999999999999">
      <c r="A167" s="1499"/>
      <c r="B167" s="1499"/>
      <c r="C167" s="1499"/>
      <c r="D167" s="1499"/>
      <c r="E167" s="1499"/>
      <c r="F167" s="2148"/>
      <c r="G167" s="2148"/>
      <c r="H167" s="863"/>
      <c r="N167" s="1878"/>
      <c r="P167" s="1878"/>
      <c r="Q167" s="2148"/>
      <c r="R167" s="2148"/>
      <c r="S167" s="1878"/>
      <c r="T167" s="1878"/>
      <c r="U167" s="1878"/>
      <c r="V167" s="1878"/>
      <c r="W167" s="2148"/>
      <c r="X167" s="1878"/>
      <c r="Y167" s="1878"/>
      <c r="Z167" s="1056"/>
      <c r="AA167" s="1878"/>
      <c r="AB167" s="1878"/>
      <c r="AC167" s="1878"/>
      <c r="AD167" s="1878"/>
      <c r="AE167" s="1878"/>
      <c r="AF167" s="2144"/>
      <c r="AG167" s="1134"/>
      <c r="AH167" s="1134"/>
      <c r="AI167" s="1134"/>
      <c r="AJ167" s="1134"/>
      <c r="AK167" s="2153">
        <v>11</v>
      </c>
    </row>
    <row s="51564" customFormat="1" customHeight="1" ht="11.549999999999999">
      <c r="A168" s="1499"/>
      <c r="B168" s="1499"/>
      <c r="C168" s="1499"/>
      <c r="D168" s="1499"/>
      <c r="E168" s="1499"/>
      <c r="F168" s="2148"/>
      <c r="G168" s="2148"/>
      <c r="H168" s="863"/>
      <c r="N168" s="1878"/>
      <c r="P168" s="1878"/>
      <c r="Q168" s="2148"/>
      <c r="R168" s="2148"/>
      <c r="S168" s="1878"/>
      <c r="T168" s="1878"/>
      <c r="U168" s="1878"/>
      <c r="V168" s="1878"/>
      <c r="W168" s="2148"/>
      <c r="X168" s="1878"/>
      <c r="Y168" s="1878"/>
      <c r="Z168" s="1056"/>
      <c r="AA168" s="1878"/>
      <c r="AB168" s="1878"/>
      <c r="AC168" s="1878"/>
      <c r="AD168" s="1878"/>
      <c r="AE168" s="1878"/>
      <c r="AF168" s="2144"/>
      <c r="AG168" s="1134"/>
      <c r="AH168" s="1134"/>
      <c r="AI168" s="1134"/>
      <c r="AJ168" s="1134"/>
      <c r="AK168" s="2153">
        <v>11</v>
      </c>
    </row>
    <row s="51564" customFormat="1" customHeight="1" ht="11.549999999999999">
      <c r="A169" s="1499"/>
      <c r="B169" s="1499"/>
      <c r="C169" s="1499"/>
      <c r="D169" s="1499"/>
      <c r="E169" s="1499"/>
      <c r="F169" s="2148"/>
      <c r="G169" s="2148"/>
      <c r="H169" s="863"/>
      <c r="N169" s="1878"/>
      <c r="P169" s="1878"/>
      <c r="Q169" s="2148"/>
      <c r="R169" s="2148"/>
      <c r="S169" s="1878"/>
      <c r="T169" s="1878"/>
      <c r="U169" s="1878"/>
      <c r="V169" s="1878"/>
      <c r="W169" s="2148"/>
      <c r="X169" s="1878"/>
      <c r="Y169" s="1878"/>
      <c r="Z169" s="1056"/>
      <c r="AA169" s="1878"/>
      <c r="AB169" s="1878"/>
      <c r="AC169" s="1878"/>
      <c r="AD169" s="1878"/>
      <c r="AE169" s="1878"/>
      <c r="AF169" s="2144"/>
      <c r="AG169" s="1134"/>
      <c r="AH169" s="1134"/>
      <c r="AI169" s="1134"/>
      <c r="AJ169" s="1134"/>
      <c r="AK169" s="2153">
        <v>11</v>
      </c>
    </row>
    <row s="51564" customFormat="1" customHeight="1" ht="11.549999999999999">
      <c r="A170" s="1499"/>
      <c r="B170" s="1499"/>
      <c r="C170" s="1499"/>
      <c r="D170" s="1499"/>
      <c r="E170" s="1499"/>
      <c r="F170" s="2148"/>
      <c r="G170" s="2148"/>
      <c r="H170" s="863"/>
      <c r="N170" s="1878"/>
      <c r="P170" s="1878"/>
      <c r="Q170" s="2148"/>
      <c r="R170" s="2148"/>
      <c r="S170" s="1878"/>
      <c r="T170" s="1878"/>
      <c r="U170" s="1878"/>
      <c r="V170" s="1878"/>
      <c r="W170" s="2148"/>
      <c r="X170" s="1878"/>
      <c r="Y170" s="1878"/>
      <c r="Z170" s="1056"/>
      <c r="AA170" s="1878"/>
      <c r="AB170" s="1878"/>
      <c r="AC170" s="1878"/>
      <c r="AD170" s="1878"/>
      <c r="AE170" s="1878"/>
      <c r="AF170" s="2144"/>
      <c r="AG170" s="1134"/>
      <c r="AH170" s="1134"/>
      <c r="AI170" s="1134"/>
      <c r="AJ170" s="1134"/>
      <c r="AK170" s="2153">
        <v>11</v>
      </c>
    </row>
    <row s="51564" customFormat="1" customHeight="1" ht="11.549999999999999">
      <c r="A171" s="1499"/>
      <c r="B171" s="1499"/>
      <c r="C171" s="1499"/>
      <c r="D171" s="1499"/>
      <c r="E171" s="1499"/>
      <c r="F171" s="2148"/>
      <c r="G171" s="2148"/>
      <c r="H171" s="863"/>
      <c r="N171" s="1878"/>
      <c r="P171" s="1878"/>
      <c r="Q171" s="2148"/>
      <c r="R171" s="2148"/>
      <c r="S171" s="1878"/>
      <c r="T171" s="1878"/>
      <c r="U171" s="1878"/>
      <c r="V171" s="1878"/>
      <c r="W171" s="2148"/>
      <c r="X171" s="1878"/>
      <c r="Y171" s="1878"/>
      <c r="Z171" s="1056"/>
      <c r="AA171" s="1878"/>
      <c r="AB171" s="1878"/>
      <c r="AC171" s="1878"/>
      <c r="AD171" s="1878"/>
      <c r="AE171" s="1878"/>
      <c r="AF171" s="2144"/>
      <c r="AG171" s="1134"/>
      <c r="AH171" s="1134"/>
      <c r="AI171" s="1134"/>
      <c r="AJ171" s="1134"/>
      <c r="AK171" s="2153">
        <v>11</v>
      </c>
    </row>
    <row s="51564" customFormat="1" customHeight="1" ht="11.549999999999999">
      <c r="A172" s="1499"/>
      <c r="B172" s="1499"/>
      <c r="C172" s="1499"/>
      <c r="D172" s="1499"/>
      <c r="E172" s="1499"/>
      <c r="F172" s="2148"/>
      <c r="G172" s="2148"/>
      <c r="H172" s="863"/>
      <c r="N172" s="1878"/>
      <c r="P172" s="1878"/>
      <c r="Q172" s="2148"/>
      <c r="R172" s="2148"/>
      <c r="S172" s="1878"/>
      <c r="T172" s="1878"/>
      <c r="U172" s="1878"/>
      <c r="V172" s="1878"/>
      <c r="W172" s="2148"/>
      <c r="X172" s="1878"/>
      <c r="Y172" s="1878"/>
      <c r="Z172" s="1056"/>
      <c r="AA172" s="1878"/>
      <c r="AB172" s="1878"/>
      <c r="AC172" s="1878"/>
      <c r="AD172" s="1878"/>
      <c r="AE172" s="1878"/>
      <c r="AF172" s="2144"/>
      <c r="AG172" s="1134"/>
      <c r="AH172" s="1134"/>
      <c r="AI172" s="1134"/>
      <c r="AJ172" s="1134"/>
      <c r="AK172" s="2153">
        <v>11</v>
      </c>
    </row>
    <row s="51564" customFormat="1" customHeight="1" ht="11.549999999999999">
      <c r="A173" s="1499"/>
      <c r="B173" s="1499"/>
      <c r="C173" s="1499"/>
      <c r="D173" s="1499"/>
      <c r="E173" s="1499"/>
      <c r="F173" s="2148"/>
      <c r="G173" s="2148"/>
      <c r="H173" s="863"/>
      <c r="N173" s="1878"/>
      <c r="P173" s="1878"/>
      <c r="Q173" s="2148"/>
      <c r="R173" s="2148"/>
      <c r="S173" s="1878"/>
      <c r="T173" s="1878"/>
      <c r="U173" s="1878"/>
      <c r="V173" s="1878"/>
      <c r="W173" s="2148"/>
      <c r="X173" s="1878"/>
      <c r="Y173" s="1878"/>
      <c r="Z173" s="1056"/>
      <c r="AA173" s="1878"/>
      <c r="AB173" s="1878"/>
      <c r="AC173" s="1878"/>
      <c r="AD173" s="1878"/>
      <c r="AE173" s="1878"/>
      <c r="AF173" s="2144"/>
      <c r="AG173" s="1134"/>
      <c r="AH173" s="1134"/>
      <c r="AI173" s="1134"/>
      <c r="AJ173" s="1134"/>
      <c r="AK173" s="2153">
        <v>11</v>
      </c>
    </row>
    <row s="51564" customFormat="1" customHeight="1" ht="11.549999999999999">
      <c r="A174" s="1499"/>
      <c r="B174" s="1499"/>
      <c r="C174" s="1499"/>
      <c r="D174" s="1499"/>
      <c r="E174" s="1499"/>
      <c r="F174" s="2148"/>
      <c r="G174" s="2148"/>
      <c r="H174" s="863"/>
      <c r="N174" s="1878"/>
      <c r="P174" s="1878"/>
      <c r="Q174" s="2148"/>
      <c r="R174" s="2148"/>
      <c r="S174" s="1878"/>
      <c r="T174" s="1878"/>
      <c r="U174" s="1878"/>
      <c r="V174" s="1878"/>
      <c r="W174" s="2148"/>
      <c r="X174" s="1878"/>
      <c r="Y174" s="1878"/>
      <c r="Z174" s="1056"/>
      <c r="AA174" s="1878"/>
      <c r="AB174" s="1878"/>
      <c r="AC174" s="1878"/>
      <c r="AD174" s="1878"/>
      <c r="AE174" s="1878"/>
      <c r="AF174" s="2144"/>
      <c r="AG174" s="1134"/>
      <c r="AH174" s="1134"/>
      <c r="AI174" s="1134"/>
      <c r="AJ174" s="1134"/>
      <c r="AK174" s="2153">
        <v>11</v>
      </c>
    </row>
    <row s="51564" customFormat="1" customHeight="1" ht="11.549999999999999">
      <c r="A175" s="1499"/>
      <c r="B175" s="1499"/>
      <c r="C175" s="1499"/>
      <c r="D175" s="1499"/>
      <c r="E175" s="1499"/>
      <c r="F175" s="2148"/>
      <c r="G175" s="2148"/>
      <c r="H175" s="863"/>
      <c r="N175" s="1878"/>
      <c r="P175" s="1878"/>
      <c r="Q175" s="2148"/>
      <c r="R175" s="2148"/>
      <c r="S175" s="1878"/>
      <c r="T175" s="1878"/>
      <c r="U175" s="1878"/>
      <c r="V175" s="1878"/>
      <c r="W175" s="2148"/>
      <c r="X175" s="1878"/>
      <c r="Y175" s="1878"/>
      <c r="Z175" s="1056"/>
      <c r="AA175" s="1878"/>
      <c r="AB175" s="1878"/>
      <c r="AC175" s="1878"/>
      <c r="AD175" s="1878"/>
      <c r="AE175" s="1878"/>
      <c r="AF175" s="2144"/>
      <c r="AG175" s="1134"/>
      <c r="AH175" s="1134"/>
      <c r="AI175" s="1134"/>
      <c r="AJ175" s="1134"/>
      <c r="AK175" s="2153">
        <v>11</v>
      </c>
    </row>
    <row s="51564" customFormat="1" customHeight="1" ht="11.549999999999999">
      <c r="A176" s="1499"/>
      <c r="B176" s="1499"/>
      <c r="C176" s="1499"/>
      <c r="D176" s="1499"/>
      <c r="E176" s="1499"/>
      <c r="F176" s="2148"/>
      <c r="G176" s="2148"/>
      <c r="H176" s="863"/>
      <c r="N176" s="1878"/>
      <c r="P176" s="1878"/>
      <c r="Q176" s="2148"/>
      <c r="R176" s="2148"/>
      <c r="S176" s="1878"/>
      <c r="T176" s="1878"/>
      <c r="U176" s="1878"/>
      <c r="V176" s="1878"/>
      <c r="W176" s="2148"/>
      <c r="X176" s="1878"/>
      <c r="Y176" s="1878"/>
      <c r="Z176" s="1056"/>
      <c r="AA176" s="1878"/>
      <c r="AB176" s="1878"/>
      <c r="AC176" s="1878"/>
      <c r="AD176" s="1878"/>
      <c r="AE176" s="1878"/>
      <c r="AF176" s="2144"/>
      <c r="AG176" s="1134"/>
      <c r="AH176" s="1134"/>
      <c r="AI176" s="1134"/>
      <c r="AJ176" s="1134"/>
      <c r="AK176" s="2153">
        <v>11</v>
      </c>
    </row>
    <row s="51564" customFormat="1" customHeight="1" ht="11.549999999999999">
      <c r="A177" s="1499"/>
      <c r="B177" s="1499"/>
      <c r="C177" s="1499"/>
      <c r="D177" s="1499"/>
      <c r="E177" s="1499"/>
      <c r="F177" s="2148"/>
      <c r="G177" s="2148"/>
      <c r="H177" s="863"/>
      <c r="N177" s="1878"/>
      <c r="P177" s="1878"/>
      <c r="Q177" s="2148"/>
      <c r="R177" s="2148"/>
      <c r="S177" s="1878"/>
      <c r="T177" s="1878"/>
      <c r="U177" s="1878"/>
      <c r="V177" s="1878"/>
      <c r="W177" s="2148"/>
      <c r="X177" s="1878"/>
      <c r="Y177" s="1878"/>
      <c r="Z177" s="1056"/>
      <c r="AA177" s="1878"/>
      <c r="AB177" s="1878"/>
      <c r="AC177" s="1878"/>
      <c r="AD177" s="1878"/>
      <c r="AE177" s="1878"/>
      <c r="AF177" s="2144"/>
      <c r="AG177" s="1134"/>
      <c r="AH177" s="1134"/>
      <c r="AI177" s="1134"/>
      <c r="AJ177" s="1134"/>
      <c r="AK177" s="2153">
        <v>11</v>
      </c>
    </row>
    <row s="51564" customFormat="1" customHeight="1" ht="11.549999999999999">
      <c r="A178" s="1499"/>
      <c r="B178" s="1499"/>
      <c r="C178" s="1499"/>
      <c r="D178" s="1499"/>
      <c r="E178" s="1499"/>
      <c r="F178" s="2148"/>
      <c r="G178" s="2148"/>
      <c r="H178" s="863"/>
      <c r="N178" s="1878"/>
      <c r="P178" s="1878"/>
      <c r="Q178" s="2148"/>
      <c r="R178" s="2148"/>
      <c r="S178" s="1878"/>
      <c r="T178" s="1878"/>
      <c r="U178" s="1878"/>
      <c r="V178" s="1878"/>
      <c r="W178" s="2148"/>
      <c r="X178" s="1878"/>
      <c r="Y178" s="1878"/>
      <c r="Z178" s="1056"/>
      <c r="AA178" s="1878"/>
      <c r="AB178" s="1878"/>
      <c r="AC178" s="1878"/>
      <c r="AD178" s="1878"/>
      <c r="AE178" s="1878"/>
      <c r="AF178" s="2144"/>
      <c r="AG178" s="1134"/>
      <c r="AH178" s="1134"/>
      <c r="AI178" s="1134"/>
      <c r="AJ178" s="1134"/>
      <c r="AK178" s="2153">
        <v>11</v>
      </c>
    </row>
    <row s="51564" customFormat="1" customHeight="1" ht="11.549999999999999">
      <c r="A179" s="1499"/>
      <c r="B179" s="1499"/>
      <c r="C179" s="1499"/>
      <c r="D179" s="1499"/>
      <c r="E179" s="1499"/>
      <c r="F179" s="2148"/>
      <c r="G179" s="2148"/>
      <c r="H179" s="863"/>
      <c r="N179" s="1878"/>
      <c r="P179" s="1878"/>
      <c r="Q179" s="2148"/>
      <c r="R179" s="2148"/>
      <c r="S179" s="1878"/>
      <c r="T179" s="1878"/>
      <c r="U179" s="1878"/>
      <c r="V179" s="1878"/>
      <c r="W179" s="2148"/>
      <c r="X179" s="1878"/>
      <c r="Y179" s="1878"/>
      <c r="Z179" s="1056"/>
      <c r="AA179" s="1878"/>
      <c r="AB179" s="1878"/>
      <c r="AC179" s="1878"/>
      <c r="AD179" s="1878"/>
      <c r="AE179" s="1878"/>
      <c r="AF179" s="2144"/>
      <c r="AG179" s="1134"/>
      <c r="AH179" s="1134"/>
      <c r="AI179" s="1134"/>
      <c r="AJ179" s="1134"/>
      <c r="AK179" s="2153">
        <v>11</v>
      </c>
    </row>
    <row s="51564" customFormat="1" customHeight="1" ht="11.549999999999999">
      <c r="A180" s="1499"/>
      <c r="B180" s="1499"/>
      <c r="C180" s="1499"/>
      <c r="D180" s="1499"/>
      <c r="E180" s="1499"/>
      <c r="F180" s="2148"/>
      <c r="G180" s="2148"/>
      <c r="H180" s="863"/>
      <c r="N180" s="1878"/>
      <c r="P180" s="1878"/>
      <c r="Q180" s="2148"/>
      <c r="R180" s="2148"/>
      <c r="S180" s="1878"/>
      <c r="T180" s="1878"/>
      <c r="U180" s="1878"/>
      <c r="V180" s="1878"/>
      <c r="W180" s="2148"/>
      <c r="X180" s="1878"/>
      <c r="Y180" s="1878"/>
      <c r="Z180" s="1056"/>
      <c r="AA180" s="1878"/>
      <c r="AB180" s="1878"/>
      <c r="AC180" s="1878"/>
      <c r="AD180" s="1878"/>
      <c r="AE180" s="1878"/>
      <c r="AF180" s="2144"/>
      <c r="AG180" s="1134"/>
      <c r="AH180" s="1134"/>
      <c r="AI180" s="1134"/>
      <c r="AJ180" s="1134"/>
      <c r="AK180" s="2153">
        <v>11</v>
      </c>
    </row>
    <row s="51564" customFormat="1" customHeight="1" ht="11.549999999999999">
      <c r="A181" s="1499"/>
      <c r="B181" s="1499"/>
      <c r="C181" s="1499"/>
      <c r="D181" s="1499"/>
      <c r="E181" s="1499"/>
      <c r="F181" s="2148"/>
      <c r="G181" s="2148"/>
      <c r="H181" s="863"/>
      <c r="N181" s="1878"/>
      <c r="P181" s="1878"/>
      <c r="Q181" s="2148"/>
      <c r="R181" s="2148"/>
      <c r="S181" s="1878"/>
      <c r="T181" s="1878"/>
      <c r="U181" s="1878"/>
      <c r="V181" s="1878"/>
      <c r="W181" s="2148"/>
      <c r="X181" s="1878"/>
      <c r="Y181" s="1878"/>
      <c r="Z181" s="1056"/>
      <c r="AA181" s="1878"/>
      <c r="AB181" s="1878"/>
      <c r="AC181" s="1878"/>
      <c r="AD181" s="1878"/>
      <c r="AE181" s="1878"/>
      <c r="AF181" s="2144"/>
      <c r="AG181" s="1134"/>
      <c r="AH181" s="1134"/>
      <c r="AI181" s="1134"/>
      <c r="AJ181" s="1134"/>
      <c r="AK181" s="2153">
        <v>11</v>
      </c>
    </row>
    <row s="51564" customFormat="1" customHeight="1" ht="11.549999999999999">
      <c r="A182" s="1499"/>
      <c r="B182" s="1499"/>
      <c r="C182" s="1499"/>
      <c r="D182" s="1499"/>
      <c r="E182" s="1499"/>
      <c r="F182" s="2148"/>
      <c r="G182" s="2148"/>
      <c r="H182" s="863"/>
      <c r="N182" s="1878"/>
      <c r="P182" s="1878"/>
      <c r="Q182" s="2148"/>
      <c r="R182" s="2148"/>
      <c r="S182" s="1878"/>
      <c r="T182" s="1878"/>
      <c r="U182" s="1878"/>
      <c r="V182" s="1878"/>
      <c r="W182" s="2148"/>
      <c r="X182" s="1878"/>
      <c r="Y182" s="1878"/>
      <c r="Z182" s="1056"/>
      <c r="AA182" s="1878"/>
      <c r="AB182" s="1878"/>
      <c r="AC182" s="1878"/>
      <c r="AD182" s="1878"/>
      <c r="AE182" s="1878"/>
      <c r="AF182" s="2144"/>
      <c r="AG182" s="1134"/>
      <c r="AH182" s="1134"/>
      <c r="AI182" s="1134"/>
      <c r="AJ182" s="1134"/>
      <c r="AK182" s="2153">
        <v>11</v>
      </c>
    </row>
    <row s="51564" customFormat="1" customHeight="1" ht="11.549999999999999">
      <c r="A183" s="1499"/>
      <c r="B183" s="1499"/>
      <c r="C183" s="1499"/>
      <c r="D183" s="1499"/>
      <c r="E183" s="1499"/>
      <c r="F183" s="2148"/>
      <c r="G183" s="2148"/>
      <c r="H183" s="863"/>
      <c r="N183" s="1878"/>
      <c r="P183" s="1878"/>
      <c r="Q183" s="2148"/>
      <c r="R183" s="2148"/>
      <c r="S183" s="1878"/>
      <c r="T183" s="1878"/>
      <c r="U183" s="1878"/>
      <c r="V183" s="1878"/>
      <c r="W183" s="2148"/>
      <c r="X183" s="1878"/>
      <c r="Y183" s="1878"/>
      <c r="Z183" s="1056"/>
      <c r="AA183" s="1878"/>
      <c r="AB183" s="1878"/>
      <c r="AC183" s="1878"/>
      <c r="AD183" s="1878"/>
      <c r="AE183" s="1878"/>
      <c r="AF183" s="2144"/>
      <c r="AG183" s="1134"/>
      <c r="AH183" s="1134"/>
      <c r="AI183" s="1134"/>
      <c r="AJ183" s="1134"/>
      <c r="AK183" s="2153">
        <v>11</v>
      </c>
    </row>
    <row s="51564" customFormat="1" customHeight="1" ht="11.549999999999999">
      <c r="A184" s="1499"/>
      <c r="B184" s="1499"/>
      <c r="C184" s="1499"/>
      <c r="D184" s="1499"/>
      <c r="E184" s="1499"/>
      <c r="F184" s="2148"/>
      <c r="G184" s="2148"/>
      <c r="H184" s="863"/>
      <c r="N184" s="1878"/>
      <c r="P184" s="1878"/>
      <c r="Q184" s="2148"/>
      <c r="R184" s="2148"/>
      <c r="S184" s="1878"/>
      <c r="T184" s="1878"/>
      <c r="U184" s="1878"/>
      <c r="V184" s="1878"/>
      <c r="W184" s="2148"/>
      <c r="X184" s="1878"/>
      <c r="Y184" s="1878"/>
      <c r="Z184" s="1056"/>
      <c r="AA184" s="1878"/>
      <c r="AB184" s="1878"/>
      <c r="AC184" s="1878"/>
      <c r="AD184" s="1878"/>
      <c r="AE184" s="1878"/>
      <c r="AF184" s="2144"/>
      <c r="AG184" s="1134"/>
      <c r="AH184" s="1134"/>
      <c r="AI184" s="1134"/>
      <c r="AJ184" s="1134"/>
      <c r="AK184" s="2153">
        <v>11</v>
      </c>
    </row>
    <row s="51564" customFormat="1" customHeight="1" ht="11.549999999999999">
      <c r="A185" s="1499"/>
      <c r="B185" s="1499"/>
      <c r="C185" s="1499"/>
      <c r="D185" s="1499"/>
      <c r="E185" s="1499"/>
      <c r="F185" s="2148"/>
      <c r="G185" s="2148"/>
      <c r="H185" s="863"/>
      <c r="N185" s="1878"/>
      <c r="P185" s="1878"/>
      <c r="Q185" s="2148"/>
      <c r="R185" s="2148"/>
      <c r="S185" s="1878"/>
      <c r="T185" s="1878"/>
      <c r="U185" s="1878"/>
      <c r="V185" s="1878"/>
      <c r="W185" s="2148"/>
      <c r="X185" s="1878"/>
      <c r="Y185" s="1878"/>
      <c r="Z185" s="1056"/>
      <c r="AA185" s="1878"/>
      <c r="AB185" s="1878"/>
      <c r="AC185" s="1878"/>
      <c r="AD185" s="1878"/>
      <c r="AE185" s="1878"/>
      <c r="AF185" s="2144"/>
      <c r="AG185" s="1134"/>
      <c r="AH185" s="1134"/>
      <c r="AI185" s="1134"/>
      <c r="AJ185" s="1134"/>
      <c r="AK185" s="2153">
        <v>11</v>
      </c>
    </row>
    <row s="51564" customFormat="1" customHeight="1" ht="11.549999999999999">
      <c r="A186" s="1499"/>
      <c r="B186" s="1499"/>
      <c r="C186" s="1499"/>
      <c r="D186" s="1499"/>
      <c r="E186" s="1499"/>
      <c r="F186" s="2148"/>
      <c r="G186" s="2148"/>
      <c r="H186" s="863"/>
      <c r="N186" s="1878"/>
      <c r="P186" s="1878"/>
      <c r="Q186" s="2148"/>
      <c r="R186" s="2148"/>
      <c r="S186" s="1878"/>
      <c r="T186" s="1878"/>
      <c r="U186" s="1878"/>
      <c r="V186" s="1878"/>
      <c r="W186" s="2148"/>
      <c r="X186" s="1878"/>
      <c r="Y186" s="1878"/>
      <c r="Z186" s="1056"/>
      <c r="AA186" s="1878"/>
      <c r="AB186" s="1878"/>
      <c r="AC186" s="1878"/>
      <c r="AD186" s="1878"/>
      <c r="AE186" s="1878"/>
      <c r="AF186" s="2144"/>
      <c r="AG186" s="1134"/>
      <c r="AH186" s="1134"/>
      <c r="AI186" s="1134"/>
      <c r="AJ186" s="1134"/>
      <c r="AK186" s="2153">
        <v>11</v>
      </c>
    </row>
    <row s="51564" customFormat="1" customHeight="1" ht="11.549999999999999">
      <c r="A187" s="1499"/>
      <c r="B187" s="1499"/>
      <c r="C187" s="1499"/>
      <c r="D187" s="1499"/>
      <c r="E187" s="1499"/>
      <c r="F187" s="2148"/>
      <c r="G187" s="2148"/>
      <c r="H187" s="863"/>
      <c r="N187" s="1878"/>
      <c r="P187" s="1878"/>
      <c r="Q187" s="2148"/>
      <c r="R187" s="2148"/>
      <c r="S187" s="1878"/>
      <c r="T187" s="1878"/>
      <c r="U187" s="1878"/>
      <c r="V187" s="1878"/>
      <c r="W187" s="2148"/>
      <c r="X187" s="1878"/>
      <c r="Y187" s="1878"/>
      <c r="Z187" s="1056"/>
      <c r="AA187" s="1878"/>
      <c r="AB187" s="1878"/>
      <c r="AC187" s="1878"/>
      <c r="AD187" s="1878"/>
      <c r="AE187" s="1878"/>
      <c r="AF187" s="2144"/>
      <c r="AG187" s="1134"/>
      <c r="AH187" s="1134"/>
      <c r="AI187" s="1134"/>
      <c r="AJ187" s="1134"/>
      <c r="AK187" s="2153">
        <v>11</v>
      </c>
    </row>
    <row s="51564" customFormat="1" customHeight="1" ht="11.549999999999999">
      <c r="A188" s="1499"/>
      <c r="B188" s="1499"/>
      <c r="C188" s="1499"/>
      <c r="D188" s="1499"/>
      <c r="E188" s="1499"/>
      <c r="F188" s="2148"/>
      <c r="G188" s="2148"/>
      <c r="H188" s="863"/>
      <c r="N188" s="1878"/>
      <c r="P188" s="1878"/>
      <c r="Q188" s="2148"/>
      <c r="R188" s="2148"/>
      <c r="S188" s="1878"/>
      <c r="T188" s="1878"/>
      <c r="U188" s="1878"/>
      <c r="V188" s="1878"/>
      <c r="W188" s="2148"/>
      <c r="X188" s="1878"/>
      <c r="Y188" s="1878"/>
      <c r="Z188" s="1056"/>
      <c r="AA188" s="1878"/>
      <c r="AB188" s="1878"/>
      <c r="AC188" s="1878"/>
      <c r="AD188" s="1878"/>
      <c r="AE188" s="1878"/>
      <c r="AF188" s="2144"/>
      <c r="AG188" s="1134"/>
      <c r="AH188" s="1134"/>
      <c r="AI188" s="1134"/>
      <c r="AJ188" s="1134"/>
      <c r="AK188" s="2153">
        <v>11</v>
      </c>
    </row>
    <row s="51564" customFormat="1" customHeight="1" ht="11.549999999999999">
      <c r="A189" s="1499"/>
      <c r="B189" s="1499"/>
      <c r="C189" s="1499"/>
      <c r="D189" s="1499"/>
      <c r="E189" s="1499"/>
      <c r="F189" s="2148"/>
      <c r="G189" s="2148"/>
      <c r="H189" s="863"/>
      <c r="N189" s="1878"/>
      <c r="P189" s="1878"/>
      <c r="Q189" s="2148"/>
      <c r="R189" s="2148"/>
      <c r="S189" s="1878"/>
      <c r="T189" s="1878"/>
      <c r="U189" s="1878"/>
      <c r="V189" s="1878"/>
      <c r="W189" s="2148"/>
      <c r="X189" s="1878"/>
      <c r="Y189" s="1878"/>
      <c r="Z189" s="1056"/>
      <c r="AA189" s="1878"/>
      <c r="AB189" s="1878"/>
      <c r="AC189" s="1878"/>
      <c r="AD189" s="1878"/>
      <c r="AE189" s="1878"/>
      <c r="AF189" s="2144"/>
      <c r="AG189" s="1134"/>
      <c r="AH189" s="1134"/>
      <c r="AI189" s="1134"/>
      <c r="AJ189" s="1134"/>
      <c r="AK189" s="2153">
        <v>11</v>
      </c>
    </row>
    <row customHeight="1" ht="11.549999999999999">
      <c r="AK190" s="2143">
        <v>11</v>
      </c>
    </row>
    <row customHeight="1" ht="11.549999999999999">
      <c r="AK191" s="2143">
        <v>11</v>
      </c>
    </row>
    <row customHeight="1" ht="11.549999999999999">
      <c r="AK192" s="2143">
        <v>11</v>
      </c>
    </row>
    <row customHeight="1" ht="11.549999999999999">
      <c r="A193" s="1502"/>
      <c r="B193" s="1502"/>
      <c r="C193" s="1502"/>
      <c r="D193" s="1502"/>
      <c r="E193" s="1502"/>
      <c r="F193" s="2143"/>
      <c r="H193" s="2143"/>
      <c r="N193" s="2143"/>
      <c r="P193" s="2143"/>
      <c r="S193" s="2143"/>
      <c r="T193" s="2143"/>
      <c r="U193" s="2143"/>
      <c r="V193" s="2143"/>
      <c r="X193" s="2143"/>
      <c r="Y193" s="2143"/>
      <c r="Z193" s="2143"/>
      <c r="AA193" s="2143"/>
      <c r="AB193" s="2143"/>
      <c r="AC193" s="2143"/>
      <c r="AD193" s="2143"/>
      <c r="AE193" s="2143"/>
      <c r="AF193" s="2143"/>
      <c r="AG193" s="2143"/>
      <c r="AH193" s="2143"/>
      <c r="AI193" s="2143"/>
      <c r="AJ193" s="2143"/>
      <c r="AK193" s="2143">
        <v>11</v>
      </c>
    </row>
    <row customHeight="1" ht="11.549999999999999">
      <c r="A194" s="1502"/>
      <c r="B194" s="1502"/>
      <c r="C194" s="1502"/>
      <c r="D194" s="1502"/>
      <c r="E194" s="1502"/>
      <c r="F194" s="2143"/>
      <c r="H194" s="2143"/>
      <c r="N194" s="2143"/>
      <c r="P194" s="2143"/>
      <c r="S194" s="2143"/>
      <c r="T194" s="2143"/>
      <c r="U194" s="2143"/>
      <c r="V194" s="2143"/>
      <c r="X194" s="2143"/>
      <c r="Y194" s="2143"/>
      <c r="Z194" s="2143"/>
      <c r="AA194" s="2143"/>
      <c r="AB194" s="2143"/>
      <c r="AC194" s="2143"/>
      <c r="AD194" s="2143"/>
      <c r="AE194" s="2143"/>
      <c r="AF194" s="2143"/>
      <c r="AG194" s="2143"/>
      <c r="AH194" s="2143"/>
      <c r="AI194" s="2143"/>
      <c r="AJ194" s="2143"/>
      <c r="AK194" s="2143">
        <v>11</v>
      </c>
    </row>
    <row customHeight="1" ht="11.549999999999999">
      <c r="A195" s="1502"/>
      <c r="B195" s="1502"/>
      <c r="C195" s="1502"/>
      <c r="D195" s="1502"/>
      <c r="E195" s="1502"/>
      <c r="F195" s="2143"/>
      <c r="H195" s="2143"/>
      <c r="N195" s="2143"/>
      <c r="P195" s="2143"/>
      <c r="S195" s="2143"/>
      <c r="T195" s="2143"/>
      <c r="U195" s="2143"/>
      <c r="V195" s="2143"/>
      <c r="X195" s="2143"/>
      <c r="Y195" s="2143"/>
      <c r="Z195" s="2143"/>
      <c r="AA195" s="2143"/>
      <c r="AB195" s="2143"/>
      <c r="AC195" s="2143"/>
      <c r="AD195" s="2143"/>
      <c r="AE195" s="2143"/>
      <c r="AF195" s="2143"/>
      <c r="AG195" s="2143"/>
      <c r="AH195" s="2143"/>
      <c r="AI195" s="2143"/>
      <c r="AJ195" s="2143"/>
      <c r="AK195" s="2143">
        <v>11</v>
      </c>
    </row>
    <row customHeight="1" ht="11.549999999999999">
      <c r="A196" s="1502"/>
      <c r="B196" s="1502"/>
      <c r="C196" s="1502"/>
      <c r="D196" s="1502"/>
      <c r="E196" s="1502"/>
      <c r="F196" s="2143"/>
      <c r="H196" s="2143"/>
      <c r="N196" s="2143"/>
      <c r="P196" s="2143"/>
      <c r="S196" s="2143"/>
      <c r="T196" s="2143"/>
      <c r="U196" s="2143"/>
      <c r="V196" s="2143"/>
      <c r="X196" s="2143"/>
      <c r="Y196" s="2143"/>
      <c r="Z196" s="2143"/>
      <c r="AA196" s="2143"/>
      <c r="AB196" s="2143"/>
      <c r="AC196" s="2143"/>
      <c r="AD196" s="2143"/>
      <c r="AE196" s="2143"/>
      <c r="AF196" s="2143"/>
      <c r="AG196" s="2143"/>
      <c r="AH196" s="2143"/>
      <c r="AI196" s="2143"/>
      <c r="AJ196" s="2143"/>
      <c r="AK196" s="2143">
        <v>11</v>
      </c>
    </row>
    <row customHeight="1" ht="11.549999999999999">
      <c r="A197" s="1502"/>
      <c r="B197" s="1502"/>
      <c r="C197" s="1502"/>
      <c r="D197" s="1502"/>
      <c r="E197" s="1502"/>
      <c r="F197" s="2143"/>
      <c r="H197" s="2143"/>
      <c r="N197" s="2143"/>
      <c r="P197" s="2143"/>
      <c r="S197" s="2143"/>
      <c r="T197" s="2143"/>
      <c r="U197" s="2143"/>
      <c r="V197" s="2143"/>
      <c r="X197" s="2143"/>
      <c r="Y197" s="2143"/>
      <c r="Z197" s="2143"/>
      <c r="AA197" s="2143"/>
      <c r="AB197" s="2143"/>
      <c r="AC197" s="2143"/>
      <c r="AD197" s="2143"/>
      <c r="AE197" s="2143"/>
      <c r="AF197" s="2143"/>
      <c r="AG197" s="2143"/>
      <c r="AH197" s="2143"/>
      <c r="AI197" s="2143"/>
      <c r="AJ197" s="2143"/>
      <c r="AK197" s="2143">
        <v>11</v>
      </c>
    </row>
    <row customHeight="1" ht="11.549999999999999">
      <c r="A198" s="1502"/>
      <c r="B198" s="1502"/>
      <c r="C198" s="1502"/>
      <c r="D198" s="1502"/>
      <c r="E198" s="1502"/>
      <c r="F198" s="2143"/>
      <c r="H198" s="2143"/>
      <c r="N198" s="2143"/>
      <c r="P198" s="2143"/>
      <c r="S198" s="2143"/>
      <c r="T198" s="2143"/>
      <c r="U198" s="2143"/>
      <c r="V198" s="2143"/>
      <c r="X198" s="2143"/>
      <c r="Y198" s="2143"/>
      <c r="Z198" s="2143"/>
      <c r="AA198" s="2143"/>
      <c r="AB198" s="2143"/>
      <c r="AC198" s="2143"/>
      <c r="AD198" s="2143"/>
      <c r="AE198" s="2143"/>
      <c r="AF198" s="2143"/>
      <c r="AG198" s="2143"/>
      <c r="AH198" s="2143"/>
      <c r="AI198" s="2143"/>
      <c r="AJ198" s="2143"/>
      <c r="AK198" s="2143">
        <v>11</v>
      </c>
    </row>
    <row customHeight="1" ht="11.549999999999999">
      <c r="A199" s="1502"/>
      <c r="B199" s="1502"/>
      <c r="C199" s="1502"/>
      <c r="D199" s="1502"/>
      <c r="E199" s="1502"/>
      <c r="F199" s="2143"/>
      <c r="H199" s="2143"/>
      <c r="N199" s="2143"/>
      <c r="P199" s="2143"/>
      <c r="S199" s="2143"/>
      <c r="T199" s="2143"/>
      <c r="U199" s="2143"/>
      <c r="V199" s="2143"/>
      <c r="X199" s="2143"/>
      <c r="Y199" s="2143"/>
      <c r="Z199" s="2143"/>
      <c r="AA199" s="2143"/>
      <c r="AB199" s="2143"/>
      <c r="AC199" s="2143"/>
      <c r="AD199" s="2143"/>
      <c r="AE199" s="2143"/>
      <c r="AF199" s="2143"/>
      <c r="AG199" s="2143"/>
      <c r="AH199" s="2143"/>
      <c r="AI199" s="2143"/>
      <c r="AJ199" s="2143"/>
      <c r="AK199" s="2143">
        <v>11</v>
      </c>
    </row>
    <row customHeight="1" ht="11.549999999999999">
      <c r="A200" s="1502"/>
      <c r="B200" s="1502"/>
      <c r="C200" s="1502"/>
      <c r="D200" s="1502"/>
      <c r="E200" s="1502"/>
      <c r="F200" s="2143"/>
      <c r="H200" s="2143"/>
      <c r="N200" s="2143"/>
      <c r="P200" s="2143"/>
      <c r="S200" s="2143"/>
      <c r="T200" s="2143"/>
      <c r="U200" s="2143"/>
      <c r="V200" s="2143"/>
      <c r="X200" s="2143"/>
      <c r="Y200" s="2143"/>
      <c r="Z200" s="2143"/>
      <c r="AA200" s="2143"/>
      <c r="AB200" s="2143"/>
      <c r="AC200" s="2143"/>
      <c r="AD200" s="2143"/>
      <c r="AE200" s="2143"/>
      <c r="AF200" s="2143"/>
      <c r="AG200" s="2143"/>
      <c r="AH200" s="2143"/>
      <c r="AI200" s="2143"/>
      <c r="AJ200" s="2143"/>
      <c r="AK200" s="2143">
        <v>11</v>
      </c>
    </row>
    <row customHeight="1" ht="11.549999999999999">
      <c r="A201" s="1502"/>
      <c r="B201" s="1502"/>
      <c r="C201" s="1502"/>
      <c r="D201" s="1502"/>
      <c r="E201" s="1502"/>
      <c r="F201" s="2143"/>
      <c r="H201" s="2143"/>
      <c r="N201" s="2143"/>
      <c r="P201" s="2143"/>
      <c r="S201" s="2143"/>
      <c r="T201" s="2143"/>
      <c r="U201" s="2143"/>
      <c r="V201" s="2143"/>
      <c r="X201" s="2143"/>
      <c r="Y201" s="2143"/>
      <c r="Z201" s="2143"/>
      <c r="AA201" s="2143"/>
      <c r="AB201" s="2143"/>
      <c r="AC201" s="2143"/>
      <c r="AD201" s="2143"/>
      <c r="AE201" s="2143"/>
      <c r="AF201" s="2143"/>
      <c r="AG201" s="2143"/>
      <c r="AH201" s="2143"/>
      <c r="AI201" s="2143"/>
      <c r="AJ201" s="2143"/>
      <c r="AK201" s="2143">
        <v>11</v>
      </c>
    </row>
    <row customHeight="1" ht="11.549999999999999">
      <c r="A202" s="1502"/>
      <c r="B202" s="1502"/>
      <c r="C202" s="1502"/>
      <c r="D202" s="1502"/>
      <c r="E202" s="1502"/>
      <c r="F202" s="2143"/>
      <c r="H202" s="2143"/>
      <c r="N202" s="2143"/>
      <c r="P202" s="2143"/>
      <c r="S202" s="2143"/>
      <c r="T202" s="2143"/>
      <c r="U202" s="2143"/>
      <c r="V202" s="2143"/>
      <c r="X202" s="2143"/>
      <c r="Y202" s="2143"/>
      <c r="Z202" s="2143"/>
      <c r="AA202" s="2143"/>
      <c r="AB202" s="2143"/>
      <c r="AC202" s="2143"/>
      <c r="AD202" s="2143"/>
      <c r="AE202" s="2143"/>
      <c r="AF202" s="2143"/>
      <c r="AG202" s="2143"/>
      <c r="AH202" s="2143"/>
      <c r="AI202" s="2143"/>
      <c r="AJ202" s="2143"/>
      <c r="AK202" s="2143">
        <v>11</v>
      </c>
    </row>
    <row customHeight="1" ht="11.549999999999999">
      <c r="A203" s="1502"/>
      <c r="B203" s="1502"/>
      <c r="C203" s="1502"/>
      <c r="D203" s="1502"/>
      <c r="E203" s="1502"/>
      <c r="F203" s="2143"/>
      <c r="H203" s="2143"/>
      <c r="N203" s="2143"/>
      <c r="P203" s="2143"/>
      <c r="S203" s="2143"/>
      <c r="T203" s="2143"/>
      <c r="U203" s="2143"/>
      <c r="V203" s="2143"/>
      <c r="X203" s="2143"/>
      <c r="Y203" s="2143"/>
      <c r="Z203" s="2143"/>
      <c r="AA203" s="2143"/>
      <c r="AB203" s="2143"/>
      <c r="AC203" s="2143"/>
      <c r="AD203" s="2143"/>
      <c r="AE203" s="2143"/>
      <c r="AF203" s="2143"/>
      <c r="AG203" s="2143"/>
      <c r="AH203" s="2143"/>
      <c r="AI203" s="2143"/>
      <c r="AJ203" s="2143"/>
      <c r="AK203" s="2143">
        <v>11</v>
      </c>
    </row>
    <row customHeight="1" ht="12.75" hidden="1">
      <c r="A204" s="1499" t="s">
        <v>84</v>
      </c>
      <c r="B204" s="1499" t="s">
        <v>145</v>
      </c>
      <c r="C204" s="1499" t="s">
        <v>145</v>
      </c>
      <c r="D204" s="1499" t="s">
        <v>145</v>
      </c>
      <c r="E204" s="1499" t="s">
        <v>145</v>
      </c>
      <c r="F204" s="2147">
        <v>16</v>
      </c>
      <c r="G204" s="2148">
        <v>0</v>
      </c>
      <c r="H204" s="2147">
        <v>3</v>
      </c>
      <c r="I204" s="2143">
        <v>7</v>
      </c>
      <c r="J204" s="2143">
        <v>56</v>
      </c>
      <c r="K204" s="2143">
        <v>10</v>
      </c>
      <c r="L204" s="2143">
        <v>40</v>
      </c>
      <c r="M204" s="2143">
        <v>40</v>
      </c>
      <c r="N204" s="1878">
        <v>9</v>
      </c>
      <c r="O204" s="2143">
        <v>102</v>
      </c>
      <c r="P204" s="1878">
        <v>9</v>
      </c>
      <c r="Q204" s="2148">
        <v>5</v>
      </c>
      <c r="R204" s="2148">
        <v>3</v>
      </c>
      <c r="S204" s="1878">
        <v>3</v>
      </c>
      <c r="T204" s="1878">
        <v>3</v>
      </c>
      <c r="U204" s="1878">
        <v>3</v>
      </c>
      <c r="V204" s="1878">
        <v>3</v>
      </c>
      <c r="W204" s="2148">
        <v>10</v>
      </c>
      <c r="X204" s="1878">
        <v>34</v>
      </c>
      <c r="Y204" s="1878">
        <v>9</v>
      </c>
      <c r="Z204" s="1056">
        <v>8</v>
      </c>
      <c r="AA204" s="1878">
        <v>8</v>
      </c>
      <c r="AB204" s="1878">
        <v>8</v>
      </c>
      <c r="AC204" s="1878">
        <v>8</v>
      </c>
      <c r="AD204" s="1878">
        <v>8</v>
      </c>
      <c r="AE204" s="1878">
        <v>8</v>
      </c>
      <c r="AF204" s="2144">
        <v>8</v>
      </c>
      <c r="AG204" s="2144">
        <v>8</v>
      </c>
      <c r="AH204" s="2144">
        <v>8</v>
      </c>
      <c r="AI204" s="2144">
        <v>8</v>
      </c>
      <c r="AJ204" s="2144">
        <v>8</v>
      </c>
      <c r="AK204" s="2143">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77291E-8815-79EF-4B79-BF7EB101E36B}"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50801" width="10.57421875" hidden="1"/>
    <col min="5" max="5" style="51808" width="9.140625" hidden="1" customWidth="1"/>
    <col min="6" max="7" style="50881" width="9.140625" hidden="1" customWidth="1"/>
    <col min="8" max="8" style="51809" width="3.00390625" customWidth="1"/>
    <col min="9" max="9" style="50801" width="6.00390625" customWidth="1"/>
    <col min="10" max="10" style="50801" width="63.00390625" customWidth="1"/>
    <col min="11" max="11" style="50801" width="9.00390625" customWidth="1"/>
    <col min="12" max="12" style="50801" width="39.00390625" customWidth="1"/>
    <col min="13" max="13" style="50801" width="89.00390625" customWidth="1"/>
    <col min="14" max="14" style="50801" width="10.00390625" customWidth="1"/>
    <col min="15" max="16" style="50981" width="10.00390625" customWidth="1"/>
    <col min="17" max="22" style="50801" width="10.00390625" customWidth="1"/>
    <col min="23" max="23" style="50801" width="10.57421875" hidden="1"/>
  </cols>
  <sheetData>
    <row customHeight="1" ht="22.5" hidden="1">
      <c r="S1" s="767"/>
      <c r="T1" s="767"/>
      <c r="V1" s="767"/>
      <c r="W1" s="2143" t="s">
        <v>14</v>
      </c>
    </row>
    <row customHeight="1" ht="22.5" hidden="1">
      <c r="B2" s="2565" t="s">
        <v>825</v>
      </c>
      <c r="C2" s="2565" t="s">
        <v>826</v>
      </c>
      <c r="D2" s="2564" t="s">
        <v>765</v>
      </c>
      <c r="E2" s="2570">
        <f>I2-3</f>
        <v>-3</v>
      </c>
      <c r="F2" s="2570">
        <f>J2</f>
        <v>0</v>
      </c>
      <c r="H2" s="2242" t="s">
        <v>106</v>
      </c>
      <c r="I2" s="2536"/>
      <c r="J2" s="2194"/>
      <c r="K2" s="2530" t="s">
        <v>445</v>
      </c>
      <c r="L2" s="1676"/>
      <c r="M2" s="809"/>
      <c r="N2" s="2136"/>
      <c r="P2" s="2143"/>
      <c r="W2" s="2143">
        <v>0</v>
      </c>
    </row>
    <row customHeight="1" ht="14.25" hidden="1">
      <c r="W3" s="2143">
        <v>0</v>
      </c>
    </row>
    <row customHeight="1" ht="6.3">
      <c r="H4" s="888"/>
      <c r="I4" s="969"/>
      <c r="J4" s="969"/>
      <c r="K4" s="969"/>
      <c r="L4" s="597"/>
      <c r="M4" s="597"/>
      <c r="W4" s="2143">
        <v>6</v>
      </c>
    </row>
    <row customHeight="1" ht="50.25">
      <c r="H5" s="888"/>
      <c r="I5" s="2760" t="s">
        <v>827</v>
      </c>
      <c r="J5" s="2760"/>
      <c r="K5" s="2760"/>
      <c r="L5" s="2760"/>
      <c r="M5" s="778"/>
      <c r="W5" s="2143">
        <v>48</v>
      </c>
    </row>
    <row customHeight="1" ht="18">
      <c r="H6" s="888"/>
      <c r="I6" s="2761" t="str">
        <f>IF(org=0,"Не определено",org)</f>
        <v>КГУП "Примтеплоэнерго"</v>
      </c>
      <c r="J6" s="2761"/>
      <c r="K6" s="2761"/>
      <c r="L6" s="2761"/>
      <c r="M6" s="778"/>
      <c r="W6" s="2143">
        <v>17</v>
      </c>
    </row>
    <row customHeight="1" ht="14.699999999999998">
      <c r="H7" s="888"/>
      <c r="I7" s="969"/>
      <c r="J7" s="975"/>
      <c r="K7" s="975"/>
      <c r="L7" s="1264"/>
      <c r="M7" s="705"/>
      <c r="W7" s="2143">
        <v>14</v>
      </c>
    </row>
    <row customHeight="1" ht="14.699999999999998">
      <c r="H8" s="888"/>
      <c r="I8" s="2898" t="s">
        <v>439</v>
      </c>
      <c r="J8" s="2899"/>
      <c r="K8" s="2899"/>
      <c r="L8" s="2900"/>
      <c r="M8" s="2901" t="s">
        <v>440</v>
      </c>
      <c r="W8" s="2143">
        <v>14</v>
      </c>
    </row>
    <row customHeight="1" ht="35.699999999999996">
      <c r="E9" s="2563" t="s">
        <v>756</v>
      </c>
      <c r="F9" s="2563" t="s">
        <v>762</v>
      </c>
      <c r="H9" s="888"/>
      <c r="I9" s="2537" t="s">
        <v>90</v>
      </c>
      <c r="J9" s="2538" t="s">
        <v>441</v>
      </c>
      <c r="K9" s="2576" t="s">
        <v>704</v>
      </c>
      <c r="L9" s="2577" t="s">
        <v>442</v>
      </c>
      <c r="M9" s="2901"/>
      <c r="W9" s="2143">
        <v>34</v>
      </c>
    </row>
    <row customHeight="1" ht="35.699999999999996">
      <c r="B10" s="2565" t="s">
        <v>828</v>
      </c>
      <c r="C10" s="2565" t="s">
        <v>829</v>
      </c>
      <c r="D10" s="2564" t="s">
        <v>765</v>
      </c>
      <c r="E10" s="2568" t="s">
        <v>766</v>
      </c>
      <c r="F10" s="2568" t="s">
        <v>766</v>
      </c>
      <c r="H10" s="888"/>
      <c r="I10" s="2536" t="s">
        <v>101</v>
      </c>
      <c r="J10" s="2398" t="s">
        <v>830</v>
      </c>
      <c r="K10" s="2530" t="s">
        <v>445</v>
      </c>
      <c r="L10" s="1330"/>
      <c r="M10" s="809" t="s">
        <v>831</v>
      </c>
      <c r="W10" s="2143">
        <v>34</v>
      </c>
    </row>
    <row customHeight="1" ht="50.25">
      <c r="B11" s="2565" t="s">
        <v>832</v>
      </c>
      <c r="C11" s="2565" t="s">
        <v>833</v>
      </c>
      <c r="D11" s="2564" t="s">
        <v>765</v>
      </c>
      <c r="E11" s="2568" t="s">
        <v>766</v>
      </c>
      <c r="F11" s="2568" t="s">
        <v>766</v>
      </c>
      <c r="H11" s="888"/>
      <c r="I11" s="2536" t="s">
        <v>105</v>
      </c>
      <c r="J11" s="2398" t="s">
        <v>834</v>
      </c>
      <c r="K11" s="2530" t="s">
        <v>445</v>
      </c>
      <c r="L11" s="1330"/>
      <c r="M11" s="809" t="s">
        <v>831</v>
      </c>
      <c r="W11" s="2143">
        <v>48</v>
      </c>
    </row>
    <row customHeight="1" ht="48.29999999999999">
      <c r="B12" s="2565" t="s">
        <v>835</v>
      </c>
      <c r="C12" s="2565" t="s">
        <v>836</v>
      </c>
      <c r="D12" s="2564" t="s">
        <v>765</v>
      </c>
      <c r="E12" s="2568" t="s">
        <v>766</v>
      </c>
      <c r="F12" s="2568" t="s">
        <v>766</v>
      </c>
      <c r="H12" s="2200"/>
      <c r="I12" s="2536" t="s">
        <v>92</v>
      </c>
      <c r="J12" s="2543" t="s">
        <v>837</v>
      </c>
      <c r="K12" s="2530" t="s">
        <v>445</v>
      </c>
      <c r="L12" s="1330"/>
      <c r="M12" s="809" t="s">
        <v>838</v>
      </c>
      <c r="N12" s="2136"/>
      <c r="P12" s="2143"/>
      <c r="W12" s="2143">
        <v>46</v>
      </c>
    </row>
    <row customHeight="1" ht="14.699999999999998">
      <c r="E13" s="855"/>
      <c r="H13" s="888"/>
      <c r="I13" s="859"/>
      <c r="J13" s="1163" t="s">
        <v>839</v>
      </c>
      <c r="K13" s="1083"/>
      <c r="L13" s="726"/>
      <c r="M13" s="809"/>
      <c r="W13" s="2143">
        <v>14</v>
      </c>
    </row>
    <row customHeight="1" ht="14.699999999999998">
      <c r="E14" s="855"/>
      <c r="H14" s="888"/>
      <c r="I14" s="1569"/>
      <c r="J14" s="2189"/>
      <c r="K14" s="2190"/>
      <c r="L14" s="2191"/>
      <c r="M14" s="2540"/>
      <c r="W14" s="2143">
        <v>14</v>
      </c>
    </row>
    <row customHeight="1" ht="14.699999999999998">
      <c r="I15" s="2193"/>
      <c r="J15" s="2897"/>
      <c r="K15" s="2897"/>
      <c r="L15" s="2897"/>
      <c r="M15" s="2897"/>
      <c r="W15" s="2143">
        <v>14</v>
      </c>
    </row>
    <row customHeight="1" ht="21" hidden="1">
      <c r="A16" s="2542" t="s">
        <v>84</v>
      </c>
      <c r="B16" s="2143">
        <v>9</v>
      </c>
      <c r="C16" s="2143">
        <v>9</v>
      </c>
      <c r="D16" s="2143">
        <v>9</v>
      </c>
      <c r="E16" s="2542" t="s">
        <v>140</v>
      </c>
      <c r="F16" s="2567" t="s">
        <v>140</v>
      </c>
      <c r="G16" s="2569"/>
      <c r="H16" s="856">
        <v>3</v>
      </c>
      <c r="I16" s="2143">
        <v>6</v>
      </c>
      <c r="J16" s="2143">
        <v>63</v>
      </c>
      <c r="K16" s="2143">
        <v>9</v>
      </c>
      <c r="L16" s="2143">
        <v>39</v>
      </c>
      <c r="M16" s="2143">
        <v>89</v>
      </c>
      <c r="N16" s="2143">
        <v>10</v>
      </c>
      <c r="O16" s="2136">
        <v>10</v>
      </c>
      <c r="P16" s="2136">
        <v>10</v>
      </c>
      <c r="Q16" s="2143">
        <v>10</v>
      </c>
      <c r="R16" s="2143">
        <v>10</v>
      </c>
      <c r="S16" s="2143">
        <v>10</v>
      </c>
      <c r="T16" s="2143">
        <v>10</v>
      </c>
      <c r="U16" s="2143">
        <v>10</v>
      </c>
      <c r="V16" s="2143">
        <v>10</v>
      </c>
      <c r="W16" s="214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BC22B7-50BE-5E63-8274-D2018C542699}" mc:Ignorable="x14ac xr xr2 xr3">
  <sheetPr>
    <tabColor theme="9" tint="-0.25"/>
  </sheetPr>
  <dimension ref="A1:AF217"/>
  <sheetViews>
    <sheetView topLeftCell="A1" showGridLines="0" zoomScale="90" workbookViewId="0">
      <selection activeCell="A1" sqref="A1"/>
    </sheetView>
  </sheetViews>
  <sheetFormatPr defaultColWidth="9.140625" customHeight="1" defaultRowHeight="11.25"/>
  <cols>
    <col min="1" max="1" style="60344" width="10.7109375" hidden="1" customWidth="1"/>
    <col min="2" max="2" style="50881" width="16.8515625" hidden="1" customWidth="1"/>
    <col min="3" max="3" style="50882" width="5.57421875" hidden="1" customWidth="1"/>
    <col min="4" max="4" style="50801" width="3.00390625" customWidth="1"/>
    <col min="5" max="5" style="50801" width="7.00390625" customWidth="1"/>
    <col min="6" max="6" style="50801" width="56.00390625" customWidth="1"/>
    <col min="7" max="7" style="50801" width="10.00390625" customWidth="1"/>
    <col min="8" max="8" style="50801" width="40.7109375" hidden="1" customWidth="1"/>
    <col min="9" max="9" style="50801" width="40.00390625" customWidth="1"/>
    <col min="10" max="10" style="50801" width="102.00390625" customWidth="1"/>
    <col min="11" max="11" style="50881" width="9.00390625" customWidth="1"/>
    <col min="12" max="12" style="50882" width="5.00390625" customWidth="1"/>
    <col min="13" max="13" style="50882" width="3.00390625" customWidth="1"/>
    <col min="14" max="17" style="50881" width="3.00390625" customWidth="1"/>
    <col min="18" max="18" style="50882" width="10.00390625" customWidth="1"/>
    <col min="19" max="19" style="50881" width="34.00390625" customWidth="1"/>
    <col min="20" max="20" style="50881" width="9.00390625" customWidth="1"/>
    <col min="21" max="21" style="60345" width="8.00390625" customWidth="1"/>
    <col min="22" max="26" style="50881" width="8.00390625" customWidth="1"/>
    <col min="27" max="31" style="50765" width="8.00390625" customWidth="1"/>
    <col min="32" max="32" style="50801" width="10.421875" hidden="1" customWidth="1"/>
  </cols>
  <sheetData>
    <row s="50881" customFormat="1" customHeight="1" ht="22.5" hidden="1">
      <c r="A1" s="1499"/>
      <c r="C1" s="2148"/>
      <c r="D1" s="1049"/>
      <c r="H1" s="1672">
        <v>4</v>
      </c>
      <c r="I1" s="1672">
        <v>4</v>
      </c>
      <c r="L1" s="2148"/>
      <c r="M1" s="2148"/>
      <c r="R1" s="2148"/>
      <c r="AF1" s="1672" t="s">
        <v>14</v>
      </c>
    </row>
    <row s="50881" customFormat="1" customHeight="1" ht="22.5" hidden="1">
      <c r="A2" s="1499"/>
      <c r="C2" s="2148"/>
      <c r="D2" s="1050"/>
      <c r="E2" s="2149"/>
      <c r="F2" s="1052"/>
      <c r="G2" s="2151" t="s">
        <v>690</v>
      </c>
      <c r="H2" s="1053"/>
      <c r="I2" s="1053"/>
      <c r="J2" s="1054" t="s">
        <v>840</v>
      </c>
      <c r="K2" s="1055"/>
      <c r="L2" s="2148"/>
      <c r="M2" s="2148"/>
      <c r="R2" s="2148"/>
      <c r="U2" s="1056"/>
      <c r="AA2" s="2144"/>
      <c r="AB2" s="2144"/>
      <c r="AC2" s="2144"/>
      <c r="AD2" s="2144"/>
      <c r="AE2" s="2144"/>
      <c r="AF2" s="1672">
        <v>0</v>
      </c>
    </row>
    <row customHeight="1" ht="11.25" hidden="1">
      <c r="AF3" s="2143">
        <v>0</v>
      </c>
    </row>
    <row s="50765"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1.5">
      <c r="E6" s="2819" t="s">
        <v>841</v>
      </c>
      <c r="F6" s="2819"/>
      <c r="G6" s="2819"/>
      <c r="H6" s="2819"/>
      <c r="I6" s="2819"/>
      <c r="J6" s="1068"/>
      <c r="AF6" s="2143">
        <v>30</v>
      </c>
    </row>
    <row customHeight="1" ht="11.549999999999999">
      <c r="E7" s="2761" t="str">
        <f>IF(org=0,"Не определено",org)</f>
        <v>КГУП "Примтеплоэнерго"</v>
      </c>
      <c r="F7" s="2761"/>
      <c r="G7" s="2761"/>
      <c r="H7" s="2761"/>
      <c r="I7" s="2761"/>
      <c r="AF7" s="2143">
        <v>11</v>
      </c>
    </row>
    <row customHeight="1" ht="11.549999999999999">
      <c r="E8" s="1647"/>
      <c r="F8" s="1647"/>
      <c r="G8" s="1647"/>
      <c r="H8" s="1647"/>
      <c r="I8" s="1647"/>
      <c r="AF8" s="2143">
        <v>11</v>
      </c>
    </row>
    <row s="50882" customFormat="1" customHeight="1" ht="4.2">
      <c r="A9" s="1679"/>
      <c r="D9" s="2154"/>
      <c r="H9" s="1401"/>
      <c r="I9" s="1401" t="s">
        <v>183</v>
      </c>
      <c r="AF9" s="2148">
        <v>4</v>
      </c>
    </row>
    <row customHeight="1" ht="11.549999999999999">
      <c r="E10" s="1223"/>
      <c r="F10" s="2879" t="s">
        <v>175</v>
      </c>
      <c r="G10" s="2880"/>
      <c r="H10" s="2064" t="str">
        <f>IF(H9="","",INDEX(DIFFERENTIATION_UNMERGE_VD,MATCH(H9,DIFFERENTIATION_ID_DIFF,0)))</f>
        <v/>
      </c>
      <c r="I10" s="2064">
        <f>IF(I9="","",INDEX(DIFFERENTIATION_UNMERGE_VD,MATCH(I9,DIFFERENTIATION_ID_DIFF,0)))</f>
        <v>0</v>
      </c>
      <c r="J10" s="2639"/>
      <c r="AF10" s="2143">
        <v>11</v>
      </c>
    </row>
    <row customHeight="1" ht="11.549999999999999">
      <c r="E11" s="1223"/>
      <c r="F11" s="2879" t="s">
        <v>702</v>
      </c>
      <c r="G11" s="2880"/>
      <c r="H11" s="2064" t="str">
        <f>IF(H9="","",INDEX(DIFFERENTIATION_UNMERGE_AREA,MATCH(H9,DIFFERENTIATION_ID_DIFF,0)))</f>
        <v/>
      </c>
      <c r="I11" s="2064" t="str">
        <f>IF(I9="","",INDEX(DIFFERENTIATION_UNMERGE_AREA,MATCH(I9,DIFFERENTIATION_ID_DIFF,0)))</f>
        <v/>
      </c>
      <c r="J11" s="2639"/>
      <c r="AF11" s="2143">
        <v>11</v>
      </c>
    </row>
    <row customHeight="1" ht="1.05">
      <c r="E12" s="2174"/>
      <c r="F12" s="2902" t="s">
        <v>703</v>
      </c>
      <c r="G12" s="2903"/>
      <c r="H12" s="2175" t="str">
        <f>IF(H9="","",INDEX(DIFFERENTIATION_UNMERGE_SYSTEM,MATCH(H9,DIFFERENTIATION_ID_DIFF,0)))</f>
        <v/>
      </c>
      <c r="I12" s="2175" t="str">
        <f>IF(I9="","",INDEX(DIFFERENTIATION_UNMERGE_SYSTEM,MATCH(I9,DIFFERENTIATION_ID_DIFF,0)))</f>
        <v>без дифференциации</v>
      </c>
      <c r="J12" s="2639"/>
      <c r="AF12" s="2143">
        <v>1</v>
      </c>
    </row>
    <row customHeight="1" ht="11.549999999999999">
      <c r="E13" s="2881" t="s">
        <v>439</v>
      </c>
      <c r="F13" s="2882"/>
      <c r="G13" s="2882"/>
      <c r="H13" s="2063"/>
      <c r="I13" s="2063"/>
      <c r="J13" s="2639"/>
      <c r="AF13" s="2143">
        <v>11</v>
      </c>
    </row>
    <row customHeight="1" ht="24">
      <c r="E14" s="2151" t="s">
        <v>90</v>
      </c>
      <c r="F14" s="2146" t="s">
        <v>441</v>
      </c>
      <c r="G14" s="2146" t="s">
        <v>704</v>
      </c>
      <c r="H14" s="2146" t="s">
        <v>442</v>
      </c>
      <c r="I14" s="2146" t="s">
        <v>442</v>
      </c>
      <c r="J14" s="2639"/>
      <c r="AF14" s="2143">
        <v>23</v>
      </c>
    </row>
    <row customHeight="1" ht="19.95">
      <c r="D15" s="2150"/>
      <c r="E15" s="2142" t="s">
        <v>101</v>
      </c>
      <c r="F15" s="1219" t="s">
        <v>842</v>
      </c>
      <c r="G15" s="2158" t="s">
        <v>690</v>
      </c>
      <c r="H15" s="1069"/>
      <c r="I15" s="1069"/>
      <c r="J15" s="801" t="s">
        <v>843</v>
      </c>
      <c r="K15" s="1055" t="s">
        <v>768</v>
      </c>
      <c r="AF15" s="2143">
        <v>19</v>
      </c>
    </row>
    <row customHeight="1" ht="35.699999999999996">
      <c r="D16" s="2150"/>
      <c r="E16" s="2142" t="s">
        <v>105</v>
      </c>
      <c r="F16" s="1219" t="s">
        <v>844</v>
      </c>
      <c r="G16" s="2158" t="s">
        <v>690</v>
      </c>
      <c r="H16" s="1070">
        <f>SUM(H17,H20:H32)</f>
        <v>0</v>
      </c>
      <c r="I16" s="1070">
        <f>SUM(I17,I20,I23,I26,I29:I32)</f>
        <v>0</v>
      </c>
      <c r="J16" s="801" t="s">
        <v>845</v>
      </c>
      <c r="K16" s="1055" t="s">
        <v>768</v>
      </c>
      <c r="AF16" s="2143">
        <v>34</v>
      </c>
    </row>
    <row customHeight="1" ht="19.95">
      <c r="D17" s="2150"/>
      <c r="E17" s="2176" t="s">
        <v>846</v>
      </c>
      <c r="F17" s="1466" t="s">
        <v>847</v>
      </c>
      <c r="G17" s="2155" t="s">
        <v>690</v>
      </c>
      <c r="H17" s="1069"/>
      <c r="I17" s="1069"/>
      <c r="J17" s="801" t="s">
        <v>848</v>
      </c>
      <c r="K17" s="1055"/>
      <c r="AF17" s="2143">
        <v>19</v>
      </c>
    </row>
    <row customHeight="1" ht="24">
      <c r="D18" s="2150"/>
      <c r="E18" s="2176" t="s">
        <v>849</v>
      </c>
      <c r="F18" s="2162" t="s">
        <v>850</v>
      </c>
      <c r="G18" s="2155" t="s">
        <v>690</v>
      </c>
      <c r="H18" s="1069"/>
      <c r="I18" s="1069"/>
      <c r="J18" s="801" t="s">
        <v>851</v>
      </c>
      <c r="K18" s="1055"/>
      <c r="AF18" s="2143">
        <v>23</v>
      </c>
    </row>
    <row customHeight="1" ht="35.699999999999996">
      <c r="D19" s="2150"/>
      <c r="E19" s="2176" t="s">
        <v>852</v>
      </c>
      <c r="F19" s="2162" t="s">
        <v>853</v>
      </c>
      <c r="G19" s="2155" t="s">
        <v>690</v>
      </c>
      <c r="H19" s="1069"/>
      <c r="I19" s="1069"/>
      <c r="J19" s="801"/>
      <c r="K19" s="1055"/>
      <c r="AF19" s="2143">
        <v>34</v>
      </c>
    </row>
    <row customHeight="1" ht="19.95">
      <c r="D20" s="2150"/>
      <c r="E20" s="2176" t="s">
        <v>446</v>
      </c>
      <c r="F20" s="1466" t="s">
        <v>854</v>
      </c>
      <c r="G20" s="2155" t="s">
        <v>690</v>
      </c>
      <c r="H20" s="1069"/>
      <c r="I20" s="1069"/>
      <c r="J20" s="801" t="s">
        <v>855</v>
      </c>
      <c r="K20" s="1055"/>
      <c r="AF20" s="2143">
        <v>19</v>
      </c>
    </row>
    <row customHeight="1" ht="19.95">
      <c r="D21" s="2150"/>
      <c r="E21" s="2176" t="s">
        <v>856</v>
      </c>
      <c r="F21" s="2162" t="s">
        <v>857</v>
      </c>
      <c r="G21" s="2155" t="s">
        <v>690</v>
      </c>
      <c r="H21" s="1069"/>
      <c r="I21" s="1069"/>
      <c r="J21" s="801"/>
      <c r="K21" s="1055"/>
      <c r="AF21" s="2143">
        <v>19</v>
      </c>
    </row>
    <row customHeight="1" ht="19.95">
      <c r="D22" s="2150"/>
      <c r="E22" s="2176" t="s">
        <v>858</v>
      </c>
      <c r="F22" s="2162" t="s">
        <v>859</v>
      </c>
      <c r="G22" s="2155" t="s">
        <v>690</v>
      </c>
      <c r="H22" s="1069"/>
      <c r="I22" s="1069"/>
      <c r="J22" s="801"/>
      <c r="K22" s="1055"/>
      <c r="AF22" s="2143">
        <v>19</v>
      </c>
    </row>
    <row customHeight="1" ht="24">
      <c r="D23" s="2150"/>
      <c r="E23" s="2176" t="s">
        <v>449</v>
      </c>
      <c r="F23" s="1466" t="s">
        <v>860</v>
      </c>
      <c r="G23" s="2155" t="s">
        <v>690</v>
      </c>
      <c r="H23" s="1069"/>
      <c r="I23" s="1069"/>
      <c r="J23" s="801" t="s">
        <v>861</v>
      </c>
      <c r="K23" s="1055"/>
      <c r="AF23" s="2143">
        <v>23</v>
      </c>
    </row>
    <row customHeight="1" ht="19.95">
      <c r="D24" s="2150"/>
      <c r="E24" s="2176" t="s">
        <v>862</v>
      </c>
      <c r="F24" s="2162" t="s">
        <v>863</v>
      </c>
      <c r="G24" s="2155" t="s">
        <v>690</v>
      </c>
      <c r="H24" s="1069"/>
      <c r="I24" s="1069"/>
      <c r="J24" s="801"/>
      <c r="K24" s="1055"/>
      <c r="AF24" s="2143">
        <v>19</v>
      </c>
    </row>
    <row customHeight="1" ht="35.699999999999996">
      <c r="D25" s="2150"/>
      <c r="E25" s="2176" t="s">
        <v>864</v>
      </c>
      <c r="F25" s="2162" t="s">
        <v>865</v>
      </c>
      <c r="G25" s="2155" t="s">
        <v>690</v>
      </c>
      <c r="H25" s="1069"/>
      <c r="I25" s="1069"/>
      <c r="J25" s="801"/>
      <c r="K25" s="1055"/>
      <c r="AF25" s="2143">
        <v>34</v>
      </c>
    </row>
    <row customHeight="1" ht="24">
      <c r="D26" s="2150"/>
      <c r="E26" s="2176" t="s">
        <v>866</v>
      </c>
      <c r="F26" s="1466" t="s">
        <v>867</v>
      </c>
      <c r="G26" s="2155" t="s">
        <v>690</v>
      </c>
      <c r="H26" s="1069"/>
      <c r="I26" s="1069"/>
      <c r="J26" s="801" t="s">
        <v>868</v>
      </c>
      <c r="K26" s="1055"/>
      <c r="AF26" s="2143">
        <v>23</v>
      </c>
    </row>
    <row customHeight="1" ht="19.95">
      <c r="D27" s="2150"/>
      <c r="E27" s="2187" t="s">
        <v>869</v>
      </c>
      <c r="F27" s="2162" t="s">
        <v>870</v>
      </c>
      <c r="G27" s="2166" t="s">
        <v>690</v>
      </c>
      <c r="H27" s="2188"/>
      <c r="I27" s="2188"/>
      <c r="J27" s="801"/>
      <c r="K27" s="1055"/>
      <c r="AF27" s="2143">
        <v>19</v>
      </c>
    </row>
    <row customHeight="1" ht="19.95">
      <c r="D28" s="2150"/>
      <c r="E28" s="2187" t="s">
        <v>871</v>
      </c>
      <c r="F28" s="2162" t="s">
        <v>872</v>
      </c>
      <c r="G28" s="2166" t="s">
        <v>690</v>
      </c>
      <c r="H28" s="2188"/>
      <c r="I28" s="2188"/>
      <c r="J28" s="801"/>
      <c r="K28" s="1055"/>
      <c r="AF28" s="2143">
        <v>19</v>
      </c>
    </row>
    <row customHeight="1" ht="19.95">
      <c r="D29" s="2150"/>
      <c r="E29" s="2187" t="s">
        <v>873</v>
      </c>
      <c r="F29" s="1466" t="s">
        <v>874</v>
      </c>
      <c r="G29" s="2166" t="s">
        <v>690</v>
      </c>
      <c r="H29" s="2188"/>
      <c r="I29" s="2188"/>
      <c r="J29" s="801"/>
      <c r="K29" s="1055"/>
      <c r="AF29" s="2143">
        <v>19</v>
      </c>
    </row>
    <row customHeight="1" ht="19.95">
      <c r="D30" s="2150"/>
      <c r="E30" s="2187" t="s">
        <v>875</v>
      </c>
      <c r="F30" s="1466" t="s">
        <v>876</v>
      </c>
      <c r="G30" s="2166" t="s">
        <v>690</v>
      </c>
      <c r="H30" s="2188"/>
      <c r="I30" s="2188"/>
      <c r="J30" s="801"/>
      <c r="K30" s="1055"/>
      <c r="AF30" s="2143">
        <v>19</v>
      </c>
    </row>
    <row customHeight="1" ht="19.95">
      <c r="D31" s="2150"/>
      <c r="E31" s="2187" t="s">
        <v>877</v>
      </c>
      <c r="F31" s="1466" t="s">
        <v>878</v>
      </c>
      <c r="G31" s="2166" t="s">
        <v>690</v>
      </c>
      <c r="H31" s="2188"/>
      <c r="I31" s="2188"/>
      <c r="J31" s="801"/>
      <c r="K31" s="1055"/>
      <c r="AF31" s="2143">
        <v>19</v>
      </c>
    </row>
    <row s="50881" customFormat="1" customHeight="1" ht="35.699999999999996">
      <c r="A32" s="1499"/>
      <c r="C32" s="2148"/>
      <c r="D32" s="2150"/>
      <c r="E32" s="2187" t="s">
        <v>879</v>
      </c>
      <c r="F32" s="1466" t="s">
        <v>880</v>
      </c>
      <c r="G32" s="2156" t="s">
        <v>690</v>
      </c>
      <c r="H32" s="1091">
        <f>SUM(H33:H34)</f>
        <v>0</v>
      </c>
      <c r="I32" s="1091">
        <f>SUM(I33:I34)</f>
        <v>0</v>
      </c>
      <c r="J32" s="801" t="s">
        <v>881</v>
      </c>
      <c r="K32" s="1055"/>
      <c r="L32" s="2148"/>
      <c r="M32" s="2148"/>
      <c r="R32" s="2148"/>
      <c r="U32" s="1056"/>
      <c r="AA32" s="2144"/>
      <c r="AB32" s="2144"/>
      <c r="AC32" s="2144"/>
      <c r="AD32" s="2144"/>
      <c r="AE32" s="2144"/>
      <c r="AF32" s="1672">
        <v>34</v>
      </c>
    </row>
    <row s="50882" customFormat="1" customHeight="1" ht="1.05">
      <c r="A33" s="1679"/>
      <c r="D33" s="1060"/>
      <c r="E33" s="1314" t="str">
        <f>E32&amp;".0"</f>
        <v>2.8.0</v>
      </c>
      <c r="F33" s="1503"/>
      <c r="G33" s="1063"/>
      <c r="H33" s="1504"/>
      <c r="I33" s="1504"/>
      <c r="J33" s="1505"/>
      <c r="AF33" s="2148">
        <v>1</v>
      </c>
    </row>
    <row s="50881" customFormat="1" customHeight="1" ht="19.95">
      <c r="A34" s="1499"/>
      <c r="C34" s="2148"/>
      <c r="D34" s="2145"/>
      <c r="E34" s="1082"/>
      <c r="F34" s="2178" t="s">
        <v>715</v>
      </c>
      <c r="G34" s="1084"/>
      <c r="H34" s="1085"/>
      <c r="I34" s="1085"/>
      <c r="J34" s="813" t="s">
        <v>882</v>
      </c>
      <c r="K34" s="1055"/>
      <c r="L34" s="2148"/>
      <c r="M34" s="2148"/>
      <c r="R34" s="2148"/>
      <c r="U34" s="1056"/>
      <c r="AA34" s="2144"/>
      <c r="AB34" s="2144"/>
      <c r="AC34" s="2144"/>
      <c r="AD34" s="2144"/>
      <c r="AE34" s="2144"/>
      <c r="AF34" s="1672">
        <v>19</v>
      </c>
    </row>
    <row customHeight="1" ht="60">
      <c r="D35" s="2150"/>
      <c r="E35" s="2187" t="s">
        <v>883</v>
      </c>
      <c r="F35" s="1466" t="s">
        <v>884</v>
      </c>
      <c r="G35" s="2166" t="s">
        <v>690</v>
      </c>
      <c r="H35" s="2188"/>
      <c r="I35" s="2188"/>
      <c r="J35" s="801" t="s">
        <v>885</v>
      </c>
      <c r="K35" s="1055"/>
      <c r="AF35" s="2143">
        <v>57</v>
      </c>
    </row>
    <row s="50881" customFormat="1" customHeight="1" ht="24">
      <c r="A36" s="1501" t="s">
        <v>716</v>
      </c>
      <c r="C36" s="2148"/>
      <c r="D36" s="2150"/>
      <c r="E36" s="2176" t="s">
        <v>92</v>
      </c>
      <c r="F36" s="1219" t="s">
        <v>886</v>
      </c>
      <c r="G36" s="2155" t="s">
        <v>690</v>
      </c>
      <c r="H36" s="1069"/>
      <c r="I36" s="1069"/>
      <c r="J36" s="801" t="s">
        <v>887</v>
      </c>
      <c r="K36" s="1055"/>
      <c r="L36" s="2148"/>
      <c r="M36" s="2148"/>
      <c r="R36" s="2148"/>
      <c r="U36" s="1056"/>
      <c r="AA36" s="2144"/>
      <c r="AB36" s="2144"/>
      <c r="AC36" s="2144"/>
      <c r="AD36" s="2144"/>
      <c r="AE36" s="2144"/>
      <c r="AF36" s="1672">
        <v>23</v>
      </c>
    </row>
    <row s="50881" customFormat="1" customHeight="1" ht="35.699999999999996">
      <c r="A37" s="1501"/>
      <c r="C37" s="2148"/>
      <c r="D37" s="2150"/>
      <c r="E37" s="2176" t="s">
        <v>463</v>
      </c>
      <c r="F37" s="1466" t="s">
        <v>888</v>
      </c>
      <c r="G37" s="2166"/>
      <c r="H37" s="1069"/>
      <c r="I37" s="1069"/>
      <c r="J37" s="801"/>
      <c r="K37" s="1055"/>
      <c r="L37" s="2148"/>
      <c r="M37" s="2148"/>
      <c r="R37" s="2148"/>
      <c r="U37" s="1056"/>
      <c r="AA37" s="2144"/>
      <c r="AB37" s="2144"/>
      <c r="AC37" s="2144"/>
      <c r="AD37" s="2144"/>
      <c r="AE37" s="2144"/>
      <c r="AF37" s="1672">
        <v>34</v>
      </c>
    </row>
    <row s="50881" customFormat="1" customHeight="1" ht="19.95">
      <c r="A38" s="1499"/>
      <c r="C38" s="2148"/>
      <c r="D38" s="1087"/>
      <c r="E38" s="2176" t="s">
        <v>93</v>
      </c>
      <c r="F38" s="1219" t="s">
        <v>889</v>
      </c>
      <c r="G38" s="2155" t="s">
        <v>690</v>
      </c>
      <c r="H38" s="1069"/>
      <c r="I38" s="1069"/>
      <c r="J38" s="801" t="s">
        <v>890</v>
      </c>
      <c r="K38" s="1055"/>
      <c r="L38" s="2148"/>
      <c r="M38" s="2148"/>
      <c r="R38" s="2148"/>
      <c r="U38" s="1056"/>
      <c r="AA38" s="2144"/>
      <c r="AB38" s="2144"/>
      <c r="AC38" s="2144"/>
      <c r="AD38" s="2144"/>
      <c r="AE38" s="2144"/>
      <c r="AF38" s="1672">
        <v>19</v>
      </c>
    </row>
    <row s="50881" customFormat="1" customHeight="1" ht="24">
      <c r="A39" s="1499"/>
      <c r="C39" s="2148"/>
      <c r="D39" s="1087"/>
      <c r="E39" s="2176" t="s">
        <v>891</v>
      </c>
      <c r="F39" s="1466" t="s">
        <v>892</v>
      </c>
      <c r="G39" s="2166" t="s">
        <v>690</v>
      </c>
      <c r="H39" s="1069"/>
      <c r="I39" s="1069"/>
      <c r="J39" s="801" t="s">
        <v>893</v>
      </c>
      <c r="K39" s="1055"/>
      <c r="L39" s="2148"/>
      <c r="M39" s="2148"/>
      <c r="R39" s="2148"/>
      <c r="U39" s="1056"/>
      <c r="AA39" s="2144"/>
      <c r="AB39" s="2144"/>
      <c r="AC39" s="2144"/>
      <c r="AD39" s="2144"/>
      <c r="AE39" s="2144"/>
      <c r="AF39" s="1672">
        <v>23</v>
      </c>
    </row>
    <row s="50881" customFormat="1" customHeight="1" ht="24">
      <c r="A40" s="1499"/>
      <c r="C40" s="2148"/>
      <c r="D40" s="2150"/>
      <c r="E40" s="2176" t="s">
        <v>894</v>
      </c>
      <c r="F40" s="2162" t="s">
        <v>895</v>
      </c>
      <c r="G40" s="2155" t="s">
        <v>690</v>
      </c>
      <c r="H40" s="1069"/>
      <c r="I40" s="1069"/>
      <c r="J40" s="801" t="s">
        <v>896</v>
      </c>
      <c r="K40" s="1055"/>
      <c r="L40" s="2148"/>
      <c r="M40" s="2148"/>
      <c r="R40" s="2148"/>
      <c r="U40" s="1056"/>
      <c r="AA40" s="2144"/>
      <c r="AB40" s="2144"/>
      <c r="AC40" s="2144"/>
      <c r="AD40" s="2144"/>
      <c r="AE40" s="2144"/>
      <c r="AF40" s="1672">
        <v>23</v>
      </c>
    </row>
    <row s="50881" customFormat="1" customHeight="1" ht="24">
      <c r="A41" s="1499"/>
      <c r="C41" s="2148"/>
      <c r="D41" s="2150"/>
      <c r="E41" s="2176" t="s">
        <v>897</v>
      </c>
      <c r="F41" s="2162" t="s">
        <v>898</v>
      </c>
      <c r="G41" s="2155" t="s">
        <v>690</v>
      </c>
      <c r="H41" s="1069"/>
      <c r="I41" s="1069"/>
      <c r="J41" s="801" t="s">
        <v>899</v>
      </c>
      <c r="K41" s="1055"/>
      <c r="L41" s="2148"/>
      <c r="M41" s="2148"/>
      <c r="R41" s="2148"/>
      <c r="U41" s="1056"/>
      <c r="AA41" s="2144"/>
      <c r="AB41" s="2144"/>
      <c r="AC41" s="2144"/>
      <c r="AD41" s="2144"/>
      <c r="AE41" s="2144"/>
      <c r="AF41" s="1672">
        <v>23</v>
      </c>
    </row>
    <row s="50881" customFormat="1" customHeight="1" ht="24">
      <c r="A42" s="1499"/>
      <c r="C42" s="2148"/>
      <c r="D42" s="2150"/>
      <c r="E42" s="2176" t="s">
        <v>900</v>
      </c>
      <c r="F42" s="2162" t="s">
        <v>901</v>
      </c>
      <c r="G42" s="2155" t="s">
        <v>690</v>
      </c>
      <c r="H42" s="1069"/>
      <c r="I42" s="1069"/>
      <c r="J42" s="801" t="s">
        <v>902</v>
      </c>
      <c r="K42" s="1055"/>
      <c r="L42" s="2148"/>
      <c r="M42" s="2148"/>
      <c r="R42" s="2148"/>
      <c r="U42" s="1056"/>
      <c r="AA42" s="2144"/>
      <c r="AB42" s="2144"/>
      <c r="AC42" s="2144"/>
      <c r="AD42" s="2144"/>
      <c r="AE42" s="2144"/>
      <c r="AF42" s="1672">
        <v>23</v>
      </c>
    </row>
    <row s="50881" customFormat="1" customHeight="1" ht="35.699999999999996">
      <c r="A43" s="1499"/>
      <c r="C43" s="2148" t="s">
        <v>726</v>
      </c>
      <c r="D43" s="2150"/>
      <c r="E43" s="2176" t="s">
        <v>121</v>
      </c>
      <c r="F43" s="1219" t="s">
        <v>767</v>
      </c>
      <c r="G43" s="2158" t="s">
        <v>903</v>
      </c>
      <c r="H43" s="913"/>
      <c r="I43" s="913"/>
      <c r="J43" s="801" t="s">
        <v>904</v>
      </c>
      <c r="K43" s="1055"/>
      <c r="L43" s="2148"/>
      <c r="M43" s="2148"/>
      <c r="R43" s="2148"/>
      <c r="U43" s="1056"/>
      <c r="AA43" s="2144"/>
      <c r="AB43" s="2144"/>
      <c r="AC43" s="2144"/>
      <c r="AD43" s="2144"/>
      <c r="AE43" s="2144"/>
      <c r="AF43" s="1672">
        <v>34</v>
      </c>
    </row>
    <row s="50881" customFormat="1" customHeight="1" ht="35.699999999999996">
      <c r="A44" s="1499"/>
      <c r="C44" s="2148"/>
      <c r="D44" s="2150"/>
      <c r="E44" s="2176" t="s">
        <v>94</v>
      </c>
      <c r="F44" s="1219" t="s">
        <v>905</v>
      </c>
      <c r="G44" s="2155" t="s">
        <v>906</v>
      </c>
      <c r="H44" s="1057"/>
      <c r="I44" s="1057"/>
      <c r="J44" s="801" t="s">
        <v>907</v>
      </c>
      <c r="K44" s="1055"/>
      <c r="L44" s="2148"/>
      <c r="M44" s="2148"/>
      <c r="R44" s="2148"/>
      <c r="U44" s="1056"/>
      <c r="AA44" s="2144"/>
      <c r="AB44" s="2144"/>
      <c r="AC44" s="2144"/>
      <c r="AD44" s="2144"/>
      <c r="AE44" s="2144"/>
      <c r="AF44" s="1672">
        <v>34</v>
      </c>
    </row>
    <row s="50881" customFormat="1" customHeight="1" ht="24">
      <c r="A45" s="1499"/>
      <c r="C45" s="2148"/>
      <c r="D45" s="2150"/>
      <c r="E45" s="2176" t="s">
        <v>95</v>
      </c>
      <c r="F45" s="1219" t="s">
        <v>908</v>
      </c>
      <c r="G45" s="2166" t="s">
        <v>909</v>
      </c>
      <c r="H45" s="1057"/>
      <c r="I45" s="1057"/>
      <c r="J45" s="801" t="s">
        <v>910</v>
      </c>
      <c r="K45" s="1055"/>
      <c r="L45" s="2148"/>
      <c r="M45" s="2148"/>
      <c r="R45" s="2148"/>
      <c r="U45" s="1056"/>
      <c r="AA45" s="2144"/>
      <c r="AB45" s="2144"/>
      <c r="AC45" s="2144"/>
      <c r="AD45" s="2144"/>
      <c r="AE45" s="2144"/>
      <c r="AF45" s="1672">
        <v>23</v>
      </c>
    </row>
    <row s="50881" customFormat="1" customHeight="1" ht="19.95">
      <c r="A46" s="1499"/>
      <c r="C46" s="2148"/>
      <c r="D46" s="2150"/>
      <c r="E46" s="2176" t="s">
        <v>135</v>
      </c>
      <c r="F46" s="1219" t="s">
        <v>911</v>
      </c>
      <c r="G46" s="2155" t="s">
        <v>728</v>
      </c>
      <c r="H46" s="1089"/>
      <c r="I46" s="1089"/>
      <c r="J46" s="801"/>
      <c r="K46" s="1055"/>
      <c r="L46" s="2148"/>
      <c r="M46" s="2148"/>
      <c r="R46" s="2148"/>
      <c r="U46" s="1056"/>
      <c r="AA46" s="2144"/>
      <c r="AB46" s="2144"/>
      <c r="AC46" s="2144"/>
      <c r="AD46" s="2144"/>
      <c r="AE46" s="2144"/>
      <c r="AF46" s="1672">
        <v>19</v>
      </c>
    </row>
    <row customHeight="1" ht="11.549999999999999">
      <c r="D47" s="2150"/>
      <c r="AF47" s="2143">
        <v>11</v>
      </c>
    </row>
    <row s="51564"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51564"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51564" customFormat="1" customHeight="1" ht="11.549999999999999">
      <c r="A50" s="1499"/>
      <c r="B50" s="2148"/>
      <c r="C50" s="2148"/>
      <c r="D50" s="863"/>
      <c r="H50" s="1078"/>
      <c r="I50" s="1078"/>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51564"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51564"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51564"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51564"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51564"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51564"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51564"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51564"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51564"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51564"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51564"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51564"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51564"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51564"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51564"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51564"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51564"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51564"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51564"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51564"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51564"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51564"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51564"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51564"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51564"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51564"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51564"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51564"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51564"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51564"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51564"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51564"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51564"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51564"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51564"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51564"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51564"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51564"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51564"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51564"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51564"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51564"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51564"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51564"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51564"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51564"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51564"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51564"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51564"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51564"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51564"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51564"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51564"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51564"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51564"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51564"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51564"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51564"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51564"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51564"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51564"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51564"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51564"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51564"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51564"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51564"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51564"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51564"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51564"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51564"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51564"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51564"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51564"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51564"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51564"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51564"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51564"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51564"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51564"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51564"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51564"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51564"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51564"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51564"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51564"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51564"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51564"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51564"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51564"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51564"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51564"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51564"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51564"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51564"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51564"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51564"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51564"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51564"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51564"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51564"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51564"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51564"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51564"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51564"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51564"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51564"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51564"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51564"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51564"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51564"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51564"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51564"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51564"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51564"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51564"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51564"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51564"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51564"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51564"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51564"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51564"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51564"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51564"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51564"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51564"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51564"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51564"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51564"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51564"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51564"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51564"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51564"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51564"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51564"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51564"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51564"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51564"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51564"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51564"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51564"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51564"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51564"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51564"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51564"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51564"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51564"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51564"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51564"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51564"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51564"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51564"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51564"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customHeight="1" ht="11.549999999999999">
      <c r="AF203" s="2143">
        <v>11</v>
      </c>
    </row>
    <row customHeight="1" ht="11.549999999999999">
      <c r="AF204" s="2143">
        <v>11</v>
      </c>
    </row>
    <row customHeight="1" ht="11.549999999999999">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549999999999999">
      <c r="A210" s="1502"/>
      <c r="B210" s="2143"/>
      <c r="D210" s="2143"/>
      <c r="K210" s="2143"/>
      <c r="N210" s="2143"/>
      <c r="O210" s="2143"/>
      <c r="P210" s="2143"/>
      <c r="Q210" s="2143"/>
      <c r="S210" s="2143"/>
      <c r="T210" s="2143"/>
      <c r="U210" s="2143"/>
      <c r="V210" s="2143"/>
      <c r="W210" s="2143"/>
      <c r="X210" s="2143"/>
      <c r="Y210" s="2143"/>
      <c r="Z210" s="2143"/>
      <c r="AA210" s="2143"/>
      <c r="AB210" s="2143"/>
      <c r="AC210" s="2143"/>
      <c r="AD210" s="2143"/>
      <c r="AE210" s="2143"/>
      <c r="AF210" s="2143">
        <v>11</v>
      </c>
    </row>
    <row customHeight="1" ht="11.549999999999999">
      <c r="A211" s="1502"/>
      <c r="B211" s="2143"/>
      <c r="D211" s="2143"/>
      <c r="K211" s="2143"/>
      <c r="N211" s="2143"/>
      <c r="O211" s="2143"/>
      <c r="P211" s="2143"/>
      <c r="Q211" s="2143"/>
      <c r="S211" s="2143"/>
      <c r="T211" s="2143"/>
      <c r="U211" s="2143"/>
      <c r="V211" s="2143"/>
      <c r="W211" s="2143"/>
      <c r="X211" s="2143"/>
      <c r="Y211" s="2143"/>
      <c r="Z211" s="2143"/>
      <c r="AA211" s="2143"/>
      <c r="AB211" s="2143"/>
      <c r="AC211" s="2143"/>
      <c r="AD211" s="2143"/>
      <c r="AE211" s="2143"/>
      <c r="AF211" s="2143">
        <v>11</v>
      </c>
    </row>
    <row customHeight="1" ht="11.549999999999999">
      <c r="A212" s="1502"/>
      <c r="B212" s="2143"/>
      <c r="D212" s="2143"/>
      <c r="K212" s="2143"/>
      <c r="N212" s="2143"/>
      <c r="O212" s="2143"/>
      <c r="P212" s="2143"/>
      <c r="Q212" s="2143"/>
      <c r="S212" s="2143"/>
      <c r="T212" s="2143"/>
      <c r="U212" s="2143"/>
      <c r="V212" s="2143"/>
      <c r="W212" s="2143"/>
      <c r="X212" s="2143"/>
      <c r="Y212" s="2143"/>
      <c r="Z212" s="2143"/>
      <c r="AA212" s="2143"/>
      <c r="AB212" s="2143"/>
      <c r="AC212" s="2143"/>
      <c r="AD212" s="2143"/>
      <c r="AE212" s="2143"/>
      <c r="AF212" s="2143">
        <v>11</v>
      </c>
    </row>
    <row customHeight="1" ht="11.549999999999999">
      <c r="A213" s="1502"/>
      <c r="B213" s="2143"/>
      <c r="D213" s="2143"/>
      <c r="K213" s="2143"/>
      <c r="N213" s="2143"/>
      <c r="O213" s="2143"/>
      <c r="P213" s="2143"/>
      <c r="Q213" s="2143"/>
      <c r="S213" s="2143"/>
      <c r="T213" s="2143"/>
      <c r="U213" s="2143"/>
      <c r="V213" s="2143"/>
      <c r="W213" s="2143"/>
      <c r="X213" s="2143"/>
      <c r="Y213" s="2143"/>
      <c r="Z213" s="2143"/>
      <c r="AA213" s="2143"/>
      <c r="AB213" s="2143"/>
      <c r="AC213" s="2143"/>
      <c r="AD213" s="2143"/>
      <c r="AE213" s="2143"/>
      <c r="AF213" s="2143">
        <v>11</v>
      </c>
    </row>
    <row customHeight="1" ht="11.549999999999999">
      <c r="A214" s="1502"/>
      <c r="B214" s="2143"/>
      <c r="D214" s="2143"/>
      <c r="K214" s="2143"/>
      <c r="N214" s="2143"/>
      <c r="O214" s="2143"/>
      <c r="P214" s="2143"/>
      <c r="Q214" s="2143"/>
      <c r="S214" s="2143"/>
      <c r="T214" s="2143"/>
      <c r="U214" s="2143"/>
      <c r="V214" s="2143"/>
      <c r="W214" s="2143"/>
      <c r="X214" s="2143"/>
      <c r="Y214" s="2143"/>
      <c r="Z214" s="2143"/>
      <c r="AA214" s="2143"/>
      <c r="AB214" s="2143"/>
      <c r="AC214" s="2143"/>
      <c r="AD214" s="2143"/>
      <c r="AE214" s="2143"/>
      <c r="AF214" s="2143">
        <v>11</v>
      </c>
    </row>
    <row customHeight="1" ht="11.549999999999999">
      <c r="A215" s="1502"/>
      <c r="B215" s="2143"/>
      <c r="D215" s="2143"/>
      <c r="K215" s="2143"/>
      <c r="N215" s="2143"/>
      <c r="O215" s="2143"/>
      <c r="P215" s="2143"/>
      <c r="Q215" s="2143"/>
      <c r="S215" s="2143"/>
      <c r="T215" s="2143"/>
      <c r="U215" s="2143"/>
      <c r="V215" s="2143"/>
      <c r="W215" s="2143"/>
      <c r="X215" s="2143"/>
      <c r="Y215" s="2143"/>
      <c r="Z215" s="2143"/>
      <c r="AA215" s="2143"/>
      <c r="AB215" s="2143"/>
      <c r="AC215" s="2143"/>
      <c r="AD215" s="2143"/>
      <c r="AE215" s="2143"/>
      <c r="AF215" s="2143">
        <v>11</v>
      </c>
    </row>
    <row customHeight="1" ht="11.549999999999999">
      <c r="A216" s="1502"/>
      <c r="B216" s="2143"/>
      <c r="D216" s="2143"/>
      <c r="K216" s="2143"/>
      <c r="N216" s="2143"/>
      <c r="O216" s="2143"/>
      <c r="P216" s="2143"/>
      <c r="Q216" s="2143"/>
      <c r="S216" s="2143"/>
      <c r="T216" s="2143"/>
      <c r="U216" s="2143"/>
      <c r="V216" s="2143"/>
      <c r="W216" s="2143"/>
      <c r="X216" s="2143"/>
      <c r="Y216" s="2143"/>
      <c r="Z216" s="2143"/>
      <c r="AA216" s="2143"/>
      <c r="AB216" s="2143"/>
      <c r="AC216" s="2143"/>
      <c r="AD216" s="2143"/>
      <c r="AE216" s="2143"/>
      <c r="AF216" s="2143">
        <v>11</v>
      </c>
    </row>
    <row customHeight="1" ht="11.25" hidden="1">
      <c r="A217" s="1499" t="s">
        <v>84</v>
      </c>
      <c r="B217" s="1672">
        <v>0</v>
      </c>
      <c r="C217" s="2148">
        <v>0</v>
      </c>
      <c r="D217" s="2147">
        <v>3</v>
      </c>
      <c r="E217" s="2143">
        <v>7</v>
      </c>
      <c r="F217" s="2143">
        <v>56</v>
      </c>
      <c r="G217" s="2143">
        <v>10</v>
      </c>
      <c r="H217" s="2143">
        <v>0</v>
      </c>
      <c r="I217" s="2143">
        <v>40</v>
      </c>
      <c r="J217" s="2143">
        <v>102</v>
      </c>
      <c r="K217" s="1672">
        <v>9</v>
      </c>
      <c r="L217" s="2148">
        <v>5</v>
      </c>
      <c r="M217" s="2148">
        <v>3</v>
      </c>
      <c r="N217" s="1672">
        <v>3</v>
      </c>
      <c r="O217" s="1672">
        <v>3</v>
      </c>
      <c r="P217" s="1672">
        <v>3</v>
      </c>
      <c r="Q217" s="1672">
        <v>3</v>
      </c>
      <c r="R217" s="2148">
        <v>10</v>
      </c>
      <c r="S217" s="1672">
        <v>34</v>
      </c>
      <c r="T217" s="1672">
        <v>9</v>
      </c>
      <c r="U217" s="1056">
        <v>8</v>
      </c>
      <c r="V217" s="1672">
        <v>8</v>
      </c>
      <c r="W217" s="1672">
        <v>8</v>
      </c>
      <c r="X217" s="1672">
        <v>8</v>
      </c>
      <c r="Y217" s="1672">
        <v>8</v>
      </c>
      <c r="Z217" s="1672">
        <v>8</v>
      </c>
      <c r="AA217" s="2144">
        <v>8</v>
      </c>
      <c r="AB217" s="2144">
        <v>8</v>
      </c>
      <c r="AC217" s="2144">
        <v>8</v>
      </c>
      <c r="AD217" s="2144">
        <v>8</v>
      </c>
      <c r="AE217" s="2144">
        <v>8</v>
      </c>
      <c r="AF217" s="2143">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61C3BA-5EDF-4691-798E-17540D819B2B}" mc:Ignorable="x14ac xr xr2 xr3">
  <sheetPr>
    <tabColor theme="9" tint="-0.25"/>
  </sheetPr>
  <dimension ref="A1:AF210"/>
  <sheetViews>
    <sheetView topLeftCell="A1" showGridLines="0" zoomScale="90" workbookViewId="0">
      <selection activeCell="A1" sqref="A1"/>
    </sheetView>
  </sheetViews>
  <sheetFormatPr defaultColWidth="9.140625" customHeight="1" defaultRowHeight="11.25"/>
  <cols>
    <col min="1" max="1" style="60344" width="10.7109375" hidden="1" customWidth="1"/>
    <col min="2" max="2" style="50881" width="16.8515625" hidden="1" customWidth="1"/>
    <col min="3" max="3" style="50882" width="5.57421875" hidden="1" customWidth="1"/>
    <col min="4" max="4" style="50801" width="3.00390625" customWidth="1"/>
    <col min="5" max="5" style="50801" width="7.00390625" customWidth="1"/>
    <col min="6" max="6" style="50801" width="54.00390625" customWidth="1"/>
    <col min="7" max="7" style="50801" width="10.00390625" customWidth="1"/>
    <col min="8" max="8" style="50801" width="40.7109375" hidden="1" customWidth="1"/>
    <col min="9" max="9" style="50801" width="40.00390625" customWidth="1"/>
    <col min="10" max="10" style="50801" width="102.00390625" customWidth="1"/>
    <col min="11" max="11" style="50881" width="9.00390625" customWidth="1"/>
    <col min="12" max="12" style="50882" width="5.00390625" customWidth="1"/>
    <col min="13" max="13" style="50882" width="3.00390625" customWidth="1"/>
    <col min="14" max="17" style="50881" width="3.00390625" customWidth="1"/>
    <col min="18" max="18" style="50882" width="10.00390625" customWidth="1"/>
    <col min="19" max="19" style="50881" width="34.00390625" customWidth="1"/>
    <col min="20" max="20" style="50881" width="9.00390625" customWidth="1"/>
    <col min="21" max="21" style="60345" width="8.00390625" customWidth="1"/>
    <col min="22" max="26" style="50881" width="8.00390625" customWidth="1"/>
    <col min="27" max="31" style="50765" width="8.00390625" customWidth="1"/>
    <col min="32" max="32" style="50801" width="9.140625" hidden="1"/>
  </cols>
  <sheetData>
    <row s="50881" customFormat="1" customHeight="1" ht="22.5" hidden="1">
      <c r="A1" s="1499"/>
      <c r="C1" s="2148"/>
      <c r="D1" s="1049"/>
      <c r="H1" s="1672">
        <v>4</v>
      </c>
      <c r="I1" s="1672">
        <v>4</v>
      </c>
      <c r="L1" s="2148"/>
      <c r="M1" s="2148"/>
      <c r="R1" s="2148"/>
      <c r="AF1" s="1672" t="s">
        <v>14</v>
      </c>
    </row>
    <row s="50881" customFormat="1" customHeight="1" ht="22.5" hidden="1">
      <c r="A2" s="1499"/>
      <c r="C2" s="2148"/>
      <c r="D2" s="1050"/>
      <c r="E2" s="2170"/>
      <c r="F2" s="1052"/>
      <c r="G2" s="2169" t="s">
        <v>690</v>
      </c>
      <c r="H2" s="1053"/>
      <c r="I2" s="1053"/>
      <c r="J2" s="1054" t="s">
        <v>693</v>
      </c>
      <c r="K2" s="1055"/>
      <c r="L2" s="2148"/>
      <c r="M2" s="2148"/>
      <c r="R2" s="2148"/>
      <c r="U2" s="1056"/>
      <c r="AA2" s="2144"/>
      <c r="AB2" s="2144"/>
      <c r="AC2" s="2144"/>
      <c r="AD2" s="2144"/>
      <c r="AE2" s="2144"/>
      <c r="AF2" s="1672">
        <v>0</v>
      </c>
    </row>
    <row customHeight="1" ht="11.25" hidden="1">
      <c r="AF3" s="2143">
        <v>0</v>
      </c>
    </row>
    <row s="50765"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3.75">
      <c r="E6" s="2760" t="s">
        <v>912</v>
      </c>
      <c r="F6" s="2760"/>
      <c r="G6" s="2760"/>
      <c r="H6" s="2760"/>
      <c r="I6" s="2760"/>
      <c r="J6" s="1068"/>
      <c r="AF6" s="2143">
        <v>32</v>
      </c>
    </row>
    <row customHeight="1" ht="25.2">
      <c r="E7" s="2761" t="str">
        <f>IF(org=0,"Не определено",org)</f>
        <v>КГУП "Примтеплоэнерго"</v>
      </c>
      <c r="F7" s="2761"/>
      <c r="G7" s="2761"/>
      <c r="H7" s="2761"/>
      <c r="I7" s="2761"/>
      <c r="AF7" s="2143">
        <v>24</v>
      </c>
    </row>
    <row customHeight="1" ht="11.549999999999999">
      <c r="E8" s="1647"/>
      <c r="F8" s="1647"/>
      <c r="G8" s="1647"/>
      <c r="H8" s="1647"/>
      <c r="I8" s="1647"/>
      <c r="AF8" s="2143">
        <v>11</v>
      </c>
    </row>
    <row s="50882" customFormat="1" customHeight="1" ht="1.05">
      <c r="A9" s="1679"/>
      <c r="D9" s="2154"/>
      <c r="H9" s="1401"/>
      <c r="I9" s="1401" t="s">
        <v>183</v>
      </c>
      <c r="AF9" s="2148">
        <v>1</v>
      </c>
    </row>
    <row customHeight="1" ht="11.549999999999999">
      <c r="E10" s="1223"/>
      <c r="F10" s="2879" t="s">
        <v>175</v>
      </c>
      <c r="G10" s="2880"/>
      <c r="H10" s="2171" t="str">
        <f>IF(H9="","",INDEX(DIFFERENTIATION_UNMERGE_VD,MATCH(H9,DIFFERENTIATION_ID_DIFF,0)))</f>
        <v/>
      </c>
      <c r="I10" s="2171">
        <f>IF(I9="","",INDEX(DIFFERENTIATION_UNMERGE_VD,MATCH(I9,DIFFERENTIATION_ID_DIFF,0)))</f>
        <v>0</v>
      </c>
      <c r="J10" s="2639"/>
      <c r="AF10" s="2143">
        <v>11</v>
      </c>
    </row>
    <row customHeight="1" ht="11.549999999999999">
      <c r="E11" s="1223"/>
      <c r="F11" s="2879" t="s">
        <v>702</v>
      </c>
      <c r="G11" s="2880"/>
      <c r="H11" s="2171" t="str">
        <f>IF(H9="","",INDEX(DIFFERENTIATION_UNMERGE_AREA,MATCH(H9,DIFFERENTIATION_ID_DIFF,0)))</f>
        <v/>
      </c>
      <c r="I11" s="2171" t="str">
        <f>IF(I9="","",INDEX(DIFFERENTIATION_UNMERGE_AREA,MATCH(I9,DIFFERENTIATION_ID_DIFF,0)))</f>
        <v/>
      </c>
      <c r="J11" s="2639"/>
      <c r="AF11" s="2143">
        <v>11</v>
      </c>
    </row>
    <row customHeight="1" ht="11.25" hidden="1">
      <c r="E12" s="2174"/>
      <c r="F12" s="2902" t="s">
        <v>703</v>
      </c>
      <c r="G12" s="2903"/>
      <c r="H12" s="2175" t="str">
        <f>IF(H9="","",INDEX(DIFFERENTIATION_UNMERGE_SYSTEM,MATCH(H9,DIFFERENTIATION_ID_DIFF,0)))</f>
        <v/>
      </c>
      <c r="I12" s="2175" t="str">
        <f>IF(I9="","",INDEX(DIFFERENTIATION_UNMERGE_SYSTEM,MATCH(I9,DIFFERENTIATION_ID_DIFF,0)))</f>
        <v>без дифференциации</v>
      </c>
      <c r="J12" s="2639"/>
      <c r="AF12" s="2143">
        <v>0</v>
      </c>
    </row>
    <row customHeight="1" ht="11.549999999999999">
      <c r="E13" s="2881" t="s">
        <v>439</v>
      </c>
      <c r="F13" s="2882"/>
      <c r="G13" s="2882"/>
      <c r="H13" s="2168"/>
      <c r="I13" s="2168"/>
      <c r="J13" s="2639"/>
      <c r="AF13" s="2143">
        <v>11</v>
      </c>
    </row>
    <row customHeight="1" ht="24">
      <c r="E14" s="2169" t="s">
        <v>90</v>
      </c>
      <c r="F14" s="2172" t="s">
        <v>441</v>
      </c>
      <c r="G14" s="2172" t="s">
        <v>704</v>
      </c>
      <c r="H14" s="2172" t="s">
        <v>442</v>
      </c>
      <c r="I14" s="2172" t="s">
        <v>442</v>
      </c>
      <c r="J14" s="2639"/>
      <c r="AF14" s="2143">
        <v>23</v>
      </c>
    </row>
    <row customHeight="1" ht="19.95">
      <c r="D15" s="2150"/>
      <c r="E15" s="2142" t="s">
        <v>101</v>
      </c>
      <c r="F15" s="1219" t="s">
        <v>913</v>
      </c>
      <c r="G15" s="2169" t="s">
        <v>690</v>
      </c>
      <c r="H15" s="1069"/>
      <c r="I15" s="1069"/>
      <c r="J15" s="801" t="s">
        <v>914</v>
      </c>
      <c r="K15" s="1055" t="s">
        <v>768</v>
      </c>
      <c r="AF15" s="2143">
        <v>19</v>
      </c>
    </row>
    <row customHeight="1" ht="24">
      <c r="D16" s="2150"/>
      <c r="E16" s="2142" t="s">
        <v>105</v>
      </c>
      <c r="F16" s="2177" t="s">
        <v>915</v>
      </c>
      <c r="G16" s="2169" t="s">
        <v>690</v>
      </c>
      <c r="H16" s="1070">
        <f>SUM(H17,H20:H27)</f>
        <v>0</v>
      </c>
      <c r="I16" s="1070">
        <f>SUM(I17,I20:I27)</f>
        <v>0</v>
      </c>
      <c r="J16" s="801" t="s">
        <v>916</v>
      </c>
      <c r="K16" s="1055" t="s">
        <v>768</v>
      </c>
      <c r="AF16" s="2143">
        <v>23</v>
      </c>
    </row>
    <row customHeight="1" ht="35.699999999999996">
      <c r="D17" s="2150"/>
      <c r="E17" s="2176" t="s">
        <v>846</v>
      </c>
      <c r="F17" s="2179" t="s">
        <v>917</v>
      </c>
      <c r="G17" s="2166" t="s">
        <v>690</v>
      </c>
      <c r="H17" s="1069"/>
      <c r="I17" s="1069"/>
      <c r="J17" s="801" t="s">
        <v>918</v>
      </c>
      <c r="K17" s="1055"/>
      <c r="AF17" s="2143">
        <v>34</v>
      </c>
    </row>
    <row customHeight="1" ht="19.95">
      <c r="D18" s="2150"/>
      <c r="E18" s="2176" t="s">
        <v>849</v>
      </c>
      <c r="F18" s="2180" t="s">
        <v>919</v>
      </c>
      <c r="G18" s="2166" t="s">
        <v>690</v>
      </c>
      <c r="H18" s="1069"/>
      <c r="I18" s="1069"/>
      <c r="J18" s="801"/>
      <c r="K18" s="1055"/>
      <c r="AF18" s="2143">
        <v>19</v>
      </c>
    </row>
    <row customHeight="1" ht="24">
      <c r="D19" s="2150"/>
      <c r="E19" s="2176" t="s">
        <v>852</v>
      </c>
      <c r="F19" s="2180" t="s">
        <v>920</v>
      </c>
      <c r="G19" s="2166" t="s">
        <v>690</v>
      </c>
      <c r="H19" s="1069"/>
      <c r="I19" s="1069"/>
      <c r="J19" s="801"/>
      <c r="K19" s="1055"/>
      <c r="AF19" s="2143">
        <v>23</v>
      </c>
    </row>
    <row customHeight="1" ht="35.699999999999996">
      <c r="D20" s="2150"/>
      <c r="E20" s="2176" t="s">
        <v>446</v>
      </c>
      <c r="F20" s="2179" t="s">
        <v>921</v>
      </c>
      <c r="G20" s="2166" t="s">
        <v>690</v>
      </c>
      <c r="H20" s="1069"/>
      <c r="I20" s="1069"/>
      <c r="J20" s="801"/>
      <c r="K20" s="1055"/>
      <c r="AF20" s="2143">
        <v>34</v>
      </c>
    </row>
    <row customHeight="1" ht="48.29999999999999">
      <c r="D21" s="2150"/>
      <c r="E21" s="2176" t="s">
        <v>449</v>
      </c>
      <c r="F21" s="2179" t="s">
        <v>922</v>
      </c>
      <c r="G21" s="2166" t="s">
        <v>690</v>
      </c>
      <c r="H21" s="1069"/>
      <c r="I21" s="1069"/>
      <c r="J21" s="801"/>
      <c r="K21" s="1055"/>
      <c r="AF21" s="2143">
        <v>46</v>
      </c>
    </row>
    <row customHeight="1" ht="60">
      <c r="D22" s="2150"/>
      <c r="E22" s="2176" t="s">
        <v>866</v>
      </c>
      <c r="F22" s="2179" t="s">
        <v>923</v>
      </c>
      <c r="G22" s="2166" t="s">
        <v>690</v>
      </c>
      <c r="H22" s="1069"/>
      <c r="I22" s="1069"/>
      <c r="J22" s="801"/>
      <c r="K22" s="1055"/>
      <c r="AF22" s="2143">
        <v>57</v>
      </c>
    </row>
    <row customHeight="1" ht="35.699999999999996">
      <c r="D23" s="2150"/>
      <c r="E23" s="2176" t="s">
        <v>873</v>
      </c>
      <c r="F23" s="2179" t="s">
        <v>924</v>
      </c>
      <c r="G23" s="2166" t="s">
        <v>690</v>
      </c>
      <c r="H23" s="1069"/>
      <c r="I23" s="1069"/>
      <c r="J23" s="801"/>
      <c r="K23" s="1055"/>
      <c r="AF23" s="2143">
        <v>34</v>
      </c>
    </row>
    <row customHeight="1" ht="35.699999999999996">
      <c r="D24" s="2150"/>
      <c r="E24" s="2176" t="s">
        <v>875</v>
      </c>
      <c r="F24" s="2179" t="s">
        <v>925</v>
      </c>
      <c r="G24" s="2166" t="s">
        <v>690</v>
      </c>
      <c r="H24" s="1069"/>
      <c r="I24" s="1069"/>
      <c r="J24" s="801"/>
      <c r="K24" s="1055"/>
      <c r="AF24" s="2143">
        <v>34</v>
      </c>
    </row>
    <row customHeight="1" ht="24">
      <c r="D25" s="2150"/>
      <c r="E25" s="2176" t="s">
        <v>877</v>
      </c>
      <c r="F25" s="2179" t="s">
        <v>926</v>
      </c>
      <c r="G25" s="2166" t="s">
        <v>690</v>
      </c>
      <c r="H25" s="1069"/>
      <c r="I25" s="1069"/>
      <c r="J25" s="801"/>
      <c r="K25" s="1055"/>
      <c r="AF25" s="2143">
        <v>23</v>
      </c>
    </row>
    <row customHeight="1" ht="76.5">
      <c r="D26" s="2150"/>
      <c r="E26" s="2176" t="s">
        <v>879</v>
      </c>
      <c r="F26" s="2179" t="s">
        <v>927</v>
      </c>
      <c r="G26" s="2166" t="s">
        <v>690</v>
      </c>
      <c r="H26" s="1069"/>
      <c r="I26" s="1069"/>
      <c r="J26" s="801"/>
      <c r="K26" s="1055"/>
      <c r="AF26" s="2143">
        <v>73</v>
      </c>
    </row>
    <row s="50881" customFormat="1" customHeight="1" ht="35.699999999999996">
      <c r="A27" s="1499"/>
      <c r="C27" s="2148"/>
      <c r="D27" s="2150"/>
      <c r="E27" s="2141" t="s">
        <v>883</v>
      </c>
      <c r="F27" s="2140" t="s">
        <v>928</v>
      </c>
      <c r="G27" s="2167" t="s">
        <v>690</v>
      </c>
      <c r="H27" s="1091">
        <f>SUM(H28:H29)</f>
        <v>0</v>
      </c>
      <c r="I27" s="1091">
        <f>SUM(I28:I29)</f>
        <v>0</v>
      </c>
      <c r="J27" s="801" t="s">
        <v>881</v>
      </c>
      <c r="K27" s="1055"/>
      <c r="L27" s="2148"/>
      <c r="M27" s="2148"/>
      <c r="R27" s="2148"/>
      <c r="U27" s="1056"/>
      <c r="AA27" s="2144"/>
      <c r="AB27" s="2144"/>
      <c r="AC27" s="2144"/>
      <c r="AD27" s="2144"/>
      <c r="AE27" s="2144"/>
      <c r="AF27" s="1672">
        <v>34</v>
      </c>
    </row>
    <row s="50882" customFormat="1" customHeight="1" ht="1.05">
      <c r="A28" s="1679"/>
      <c r="D28" s="1060"/>
      <c r="E28" s="1314" t="str">
        <f>E27&amp;".0"</f>
        <v>2.9.0</v>
      </c>
      <c r="F28" s="1503"/>
      <c r="G28" s="1063"/>
      <c r="H28" s="1504"/>
      <c r="I28" s="1504"/>
      <c r="J28" s="1505"/>
      <c r="AF28" s="2148">
        <v>1</v>
      </c>
    </row>
    <row s="50881" customFormat="1" customHeight="1" ht="19.95">
      <c r="A29" s="1499"/>
      <c r="C29" s="2148"/>
      <c r="D29" s="2145"/>
      <c r="E29" s="1082"/>
      <c r="F29" s="2178" t="s">
        <v>715</v>
      </c>
      <c r="G29" s="1084"/>
      <c r="H29" s="1085"/>
      <c r="I29" s="1085"/>
      <c r="J29" s="813" t="s">
        <v>882</v>
      </c>
      <c r="K29" s="1055"/>
      <c r="L29" s="2148"/>
      <c r="M29" s="2148"/>
      <c r="R29" s="2148"/>
      <c r="U29" s="1056"/>
      <c r="AA29" s="2144"/>
      <c r="AB29" s="2144"/>
      <c r="AC29" s="2144"/>
      <c r="AD29" s="2144"/>
      <c r="AE29" s="2144"/>
      <c r="AF29" s="1672">
        <v>19</v>
      </c>
    </row>
    <row s="50881" customFormat="1" customHeight="1" ht="24">
      <c r="A30" s="1499"/>
      <c r="C30" s="2148"/>
      <c r="D30" s="2150"/>
      <c r="E30" s="2176" t="s">
        <v>92</v>
      </c>
      <c r="F30" s="2173" t="s">
        <v>929</v>
      </c>
      <c r="G30" s="2166" t="s">
        <v>690</v>
      </c>
      <c r="H30" s="1069"/>
      <c r="I30" s="1069"/>
      <c r="J30" s="801"/>
      <c r="K30" s="1055"/>
      <c r="L30" s="2148"/>
      <c r="M30" s="2148"/>
      <c r="R30" s="2148"/>
      <c r="U30" s="1056"/>
      <c r="AA30" s="2144"/>
      <c r="AB30" s="2144"/>
      <c r="AC30" s="2144"/>
      <c r="AD30" s="2144"/>
      <c r="AE30" s="2144"/>
      <c r="AF30" s="1672">
        <v>23</v>
      </c>
    </row>
    <row s="50881" customFormat="1" customHeight="1" ht="35.699999999999996">
      <c r="A31" s="1499"/>
      <c r="C31" s="2148"/>
      <c r="D31" s="1087"/>
      <c r="E31" s="2176" t="s">
        <v>93</v>
      </c>
      <c r="F31" s="2173" t="s">
        <v>930</v>
      </c>
      <c r="G31" s="2166" t="s">
        <v>690</v>
      </c>
      <c r="H31" s="1069"/>
      <c r="I31" s="1069"/>
      <c r="J31" s="801" t="s">
        <v>931</v>
      </c>
      <c r="K31" s="1055"/>
      <c r="L31" s="2148"/>
      <c r="M31" s="2148"/>
      <c r="R31" s="2148"/>
      <c r="U31" s="1056"/>
      <c r="AA31" s="2144"/>
      <c r="AB31" s="2144"/>
      <c r="AC31" s="2144"/>
      <c r="AD31" s="2144"/>
      <c r="AE31" s="2144"/>
      <c r="AF31" s="1672">
        <v>34</v>
      </c>
    </row>
    <row s="50881" customFormat="1" customHeight="1" ht="24">
      <c r="A32" s="1499"/>
      <c r="C32" s="2148"/>
      <c r="D32" s="2150"/>
      <c r="E32" s="2176" t="s">
        <v>891</v>
      </c>
      <c r="F32" s="1202" t="s">
        <v>895</v>
      </c>
      <c r="G32" s="2166" t="s">
        <v>690</v>
      </c>
      <c r="H32" s="1069"/>
      <c r="I32" s="1069"/>
      <c r="J32" s="801" t="s">
        <v>932</v>
      </c>
      <c r="K32" s="1055"/>
      <c r="L32" s="2148"/>
      <c r="M32" s="2148"/>
      <c r="R32" s="2148"/>
      <c r="U32" s="1056"/>
      <c r="AA32" s="2144"/>
      <c r="AB32" s="2144"/>
      <c r="AC32" s="2144"/>
      <c r="AD32" s="2144"/>
      <c r="AE32" s="2144"/>
      <c r="AF32" s="1672">
        <v>23</v>
      </c>
    </row>
    <row s="50881" customFormat="1" customHeight="1" ht="24">
      <c r="A33" s="1499"/>
      <c r="C33" s="2148"/>
      <c r="D33" s="2150"/>
      <c r="E33" s="2176" t="s">
        <v>933</v>
      </c>
      <c r="F33" s="1202" t="s">
        <v>934</v>
      </c>
      <c r="G33" s="2166" t="s">
        <v>690</v>
      </c>
      <c r="H33" s="1069"/>
      <c r="I33" s="1069"/>
      <c r="J33" s="801" t="s">
        <v>935</v>
      </c>
      <c r="K33" s="1055"/>
      <c r="L33" s="2148"/>
      <c r="M33" s="2148"/>
      <c r="R33" s="2148"/>
      <c r="U33" s="1056"/>
      <c r="AA33" s="2144"/>
      <c r="AB33" s="2144"/>
      <c r="AC33" s="2144"/>
      <c r="AD33" s="2144"/>
      <c r="AE33" s="2144"/>
      <c r="AF33" s="1672">
        <v>23</v>
      </c>
    </row>
    <row s="50881" customFormat="1" customHeight="1" ht="24">
      <c r="A34" s="1499"/>
      <c r="C34" s="2148"/>
      <c r="D34" s="2150"/>
      <c r="E34" s="2176" t="s">
        <v>936</v>
      </c>
      <c r="F34" s="1202" t="s">
        <v>901</v>
      </c>
      <c r="G34" s="2166" t="s">
        <v>690</v>
      </c>
      <c r="H34" s="1069"/>
      <c r="I34" s="1069"/>
      <c r="J34" s="801" t="s">
        <v>937</v>
      </c>
      <c r="K34" s="1055"/>
      <c r="L34" s="2148"/>
      <c r="M34" s="2148"/>
      <c r="R34" s="2148"/>
      <c r="U34" s="1056"/>
      <c r="AA34" s="2144"/>
      <c r="AB34" s="2144"/>
      <c r="AC34" s="2144"/>
      <c r="AD34" s="2144"/>
      <c r="AE34" s="2144"/>
      <c r="AF34" s="1672">
        <v>23</v>
      </c>
    </row>
    <row s="50881" customFormat="1" customHeight="1" ht="35.699999999999996">
      <c r="A35" s="1499"/>
      <c r="C35" s="2148" t="s">
        <v>726</v>
      </c>
      <c r="D35" s="2150"/>
      <c r="E35" s="2176" t="s">
        <v>121</v>
      </c>
      <c r="F35" s="2173" t="s">
        <v>767</v>
      </c>
      <c r="G35" s="2169" t="s">
        <v>445</v>
      </c>
      <c r="H35" s="913"/>
      <c r="I35" s="913"/>
      <c r="J35" s="801" t="s">
        <v>938</v>
      </c>
      <c r="K35" s="1055"/>
      <c r="L35" s="2148"/>
      <c r="M35" s="2148"/>
      <c r="R35" s="2148"/>
      <c r="U35" s="1056"/>
      <c r="AA35" s="2144"/>
      <c r="AB35" s="2144"/>
      <c r="AC35" s="2144"/>
      <c r="AD35" s="2144"/>
      <c r="AE35" s="2144"/>
      <c r="AF35" s="1672">
        <v>34</v>
      </c>
    </row>
    <row s="50881" customFormat="1" customHeight="1" ht="35.699999999999996">
      <c r="A36" s="1499"/>
      <c r="C36" s="2148"/>
      <c r="D36" s="2150"/>
      <c r="E36" s="2176" t="s">
        <v>94</v>
      </c>
      <c r="F36" s="2173" t="s">
        <v>939</v>
      </c>
      <c r="G36" s="2166" t="s">
        <v>906</v>
      </c>
      <c r="H36" s="1057"/>
      <c r="I36" s="1057"/>
      <c r="J36" s="801" t="s">
        <v>907</v>
      </c>
      <c r="K36" s="1055"/>
      <c r="L36" s="2148"/>
      <c r="M36" s="2148"/>
      <c r="R36" s="2148"/>
      <c r="U36" s="1056"/>
      <c r="AA36" s="2144"/>
      <c r="AB36" s="2144"/>
      <c r="AC36" s="2144"/>
      <c r="AD36" s="2144"/>
      <c r="AE36" s="2144"/>
      <c r="AF36" s="1672">
        <v>34</v>
      </c>
    </row>
    <row s="50881" customFormat="1" customHeight="1" ht="24">
      <c r="A37" s="1499"/>
      <c r="C37" s="2148"/>
      <c r="D37" s="2150"/>
      <c r="E37" s="2176" t="s">
        <v>95</v>
      </c>
      <c r="F37" s="2173" t="s">
        <v>940</v>
      </c>
      <c r="G37" s="2166" t="s">
        <v>909</v>
      </c>
      <c r="H37" s="1057"/>
      <c r="I37" s="1057"/>
      <c r="J37" s="801" t="s">
        <v>910</v>
      </c>
      <c r="K37" s="1055"/>
      <c r="L37" s="2148"/>
      <c r="M37" s="2148"/>
      <c r="R37" s="2148"/>
      <c r="U37" s="1056"/>
      <c r="AA37" s="2144"/>
      <c r="AB37" s="2144"/>
      <c r="AC37" s="2144"/>
      <c r="AD37" s="2144"/>
      <c r="AE37" s="2144"/>
      <c r="AF37" s="1672">
        <v>23</v>
      </c>
    </row>
    <row customHeight="1" ht="11.549999999999999">
      <c r="D38" s="2150"/>
      <c r="AF38" s="2143">
        <v>11</v>
      </c>
    </row>
    <row customHeight="1" ht="27.299999999999997">
      <c r="D39" s="2150"/>
      <c r="E39" s="1765" t="s">
        <v>941</v>
      </c>
      <c r="F39" s="2797" t="s">
        <v>942</v>
      </c>
      <c r="G39" s="2797"/>
      <c r="H39" s="881"/>
      <c r="I39" s="881"/>
      <c r="J39" s="881"/>
      <c r="AF39" s="2143">
        <v>26</v>
      </c>
    </row>
    <row s="51564" customFormat="1" customHeight="1" ht="39.75">
      <c r="A40" s="1499"/>
      <c r="B40" s="2148"/>
      <c r="C40" s="2148"/>
      <c r="D40" s="863"/>
      <c r="F40" s="2797" t="s">
        <v>943</v>
      </c>
      <c r="G40" s="2797"/>
      <c r="H40" s="881"/>
      <c r="I40" s="881"/>
      <c r="J40" s="881"/>
      <c r="K40" s="1672"/>
      <c r="L40" s="2148"/>
      <c r="M40" s="2148"/>
      <c r="N40" s="1672"/>
      <c r="O40" s="1672"/>
      <c r="P40" s="1672"/>
      <c r="Q40" s="1672"/>
      <c r="R40" s="2148"/>
      <c r="S40" s="1672"/>
      <c r="T40" s="1672"/>
      <c r="U40" s="1056"/>
      <c r="V40" s="1672"/>
      <c r="W40" s="1672"/>
      <c r="X40" s="1672"/>
      <c r="Y40" s="1672"/>
      <c r="Z40" s="1672"/>
      <c r="AA40" s="2144"/>
      <c r="AB40" s="1078"/>
      <c r="AC40" s="1078"/>
      <c r="AD40" s="1078"/>
      <c r="AE40" s="1078"/>
      <c r="AF40" s="2153">
        <v>38</v>
      </c>
    </row>
    <row s="51564" customFormat="1" customHeight="1" ht="11.549999999999999">
      <c r="A41" s="1499"/>
      <c r="B41" s="2148"/>
      <c r="C41" s="2148"/>
      <c r="D41" s="863"/>
      <c r="K41" s="1672"/>
      <c r="L41" s="2148"/>
      <c r="M41" s="2148"/>
      <c r="N41" s="1672"/>
      <c r="O41" s="1672"/>
      <c r="P41" s="1672"/>
      <c r="Q41" s="1672"/>
      <c r="R41" s="2148"/>
      <c r="S41" s="1672"/>
      <c r="T41" s="1672"/>
      <c r="U41" s="1056"/>
      <c r="V41" s="1672"/>
      <c r="W41" s="1672"/>
      <c r="X41" s="1672"/>
      <c r="Y41" s="1672"/>
      <c r="Z41" s="1672"/>
      <c r="AA41" s="2144"/>
      <c r="AB41" s="1078"/>
      <c r="AC41" s="1078"/>
      <c r="AD41" s="1078"/>
      <c r="AE41" s="1078"/>
      <c r="AF41" s="2153">
        <v>11</v>
      </c>
    </row>
    <row s="51564" customFormat="1" customHeight="1" ht="11.549999999999999">
      <c r="A42" s="1499"/>
      <c r="B42" s="2148"/>
      <c r="C42" s="2148"/>
      <c r="D42" s="863"/>
      <c r="K42" s="1672"/>
      <c r="L42" s="2148"/>
      <c r="M42" s="2148"/>
      <c r="N42" s="1672"/>
      <c r="O42" s="1672"/>
      <c r="P42" s="1672"/>
      <c r="Q42" s="1672"/>
      <c r="R42" s="2148"/>
      <c r="S42" s="1672"/>
      <c r="T42" s="1672"/>
      <c r="U42" s="1056"/>
      <c r="V42" s="1672"/>
      <c r="W42" s="1672"/>
      <c r="X42" s="1672"/>
      <c r="Y42" s="1672"/>
      <c r="Z42" s="1672"/>
      <c r="AA42" s="2144"/>
      <c r="AB42" s="1078"/>
      <c r="AC42" s="1078"/>
      <c r="AD42" s="1078"/>
      <c r="AE42" s="1078"/>
      <c r="AF42" s="2153">
        <v>11</v>
      </c>
    </row>
    <row s="51564" customFormat="1" customHeight="1" ht="11.549999999999999">
      <c r="A43" s="1499"/>
      <c r="B43" s="2148"/>
      <c r="C43" s="2148"/>
      <c r="D43" s="863"/>
      <c r="H43" s="1078"/>
      <c r="I43" s="1078"/>
      <c r="K43" s="1672"/>
      <c r="L43" s="2148"/>
      <c r="M43" s="2148"/>
      <c r="N43" s="1672"/>
      <c r="O43" s="1672"/>
      <c r="P43" s="1672"/>
      <c r="Q43" s="1672"/>
      <c r="R43" s="2148"/>
      <c r="S43" s="1672"/>
      <c r="T43" s="1672"/>
      <c r="U43" s="1056"/>
      <c r="V43" s="1672"/>
      <c r="W43" s="1672"/>
      <c r="X43" s="1672"/>
      <c r="Y43" s="1672"/>
      <c r="Z43" s="1672"/>
      <c r="AA43" s="2144"/>
      <c r="AB43" s="1078"/>
      <c r="AC43" s="1078"/>
      <c r="AD43" s="1078"/>
      <c r="AE43" s="1078"/>
      <c r="AF43" s="2153">
        <v>11</v>
      </c>
    </row>
    <row s="51564" customFormat="1" customHeight="1" ht="11.549999999999999">
      <c r="A44" s="1499"/>
      <c r="B44" s="2148"/>
      <c r="C44" s="2148"/>
      <c r="D44" s="863"/>
      <c r="K44" s="1672"/>
      <c r="L44" s="2148"/>
      <c r="M44" s="2148"/>
      <c r="N44" s="1672"/>
      <c r="O44" s="1672"/>
      <c r="P44" s="1672"/>
      <c r="Q44" s="1672"/>
      <c r="R44" s="2148"/>
      <c r="S44" s="1672"/>
      <c r="T44" s="1672"/>
      <c r="U44" s="1056"/>
      <c r="V44" s="1672"/>
      <c r="W44" s="1672"/>
      <c r="X44" s="1672"/>
      <c r="Y44" s="1672"/>
      <c r="Z44" s="1672"/>
      <c r="AA44" s="2144"/>
      <c r="AB44" s="1078"/>
      <c r="AC44" s="1078"/>
      <c r="AD44" s="1078"/>
      <c r="AE44" s="1078"/>
      <c r="AF44" s="2153">
        <v>11</v>
      </c>
    </row>
    <row s="51564" customFormat="1" customHeight="1" ht="11.549999999999999">
      <c r="A45" s="1499"/>
      <c r="B45" s="2148"/>
      <c r="C45" s="2148"/>
      <c r="D45" s="863"/>
      <c r="K45" s="1672"/>
      <c r="L45" s="2148"/>
      <c r="M45" s="2148"/>
      <c r="N45" s="1672"/>
      <c r="O45" s="1672"/>
      <c r="P45" s="1672"/>
      <c r="Q45" s="1672"/>
      <c r="R45" s="2148"/>
      <c r="S45" s="1672"/>
      <c r="T45" s="1672"/>
      <c r="U45" s="1056"/>
      <c r="V45" s="1672"/>
      <c r="W45" s="1672"/>
      <c r="X45" s="1672"/>
      <c r="Y45" s="1672"/>
      <c r="Z45" s="1672"/>
      <c r="AA45" s="2144"/>
      <c r="AB45" s="1078"/>
      <c r="AC45" s="1078"/>
      <c r="AD45" s="1078"/>
      <c r="AE45" s="1078"/>
      <c r="AF45" s="2153">
        <v>11</v>
      </c>
    </row>
    <row s="51564" customFormat="1" customHeight="1" ht="11.549999999999999">
      <c r="A46" s="1499"/>
      <c r="B46" s="2148"/>
      <c r="C46" s="2148"/>
      <c r="D46" s="863"/>
      <c r="K46" s="1672"/>
      <c r="L46" s="2148"/>
      <c r="M46" s="2148"/>
      <c r="N46" s="1672"/>
      <c r="O46" s="1672"/>
      <c r="P46" s="1672"/>
      <c r="Q46" s="1672"/>
      <c r="R46" s="2148"/>
      <c r="S46" s="1672"/>
      <c r="T46" s="1672"/>
      <c r="U46" s="1056"/>
      <c r="V46" s="1672"/>
      <c r="W46" s="1672"/>
      <c r="X46" s="1672"/>
      <c r="Y46" s="1672"/>
      <c r="Z46" s="1672"/>
      <c r="AA46" s="2144"/>
      <c r="AB46" s="1078"/>
      <c r="AC46" s="1078"/>
      <c r="AD46" s="1078"/>
      <c r="AE46" s="1078"/>
      <c r="AF46" s="2153">
        <v>11</v>
      </c>
    </row>
    <row s="51564" customFormat="1" customHeight="1" ht="11.549999999999999">
      <c r="A47" s="1499"/>
      <c r="B47" s="2148"/>
      <c r="C47" s="2148"/>
      <c r="D47" s="863"/>
      <c r="K47" s="1672"/>
      <c r="L47" s="2148"/>
      <c r="M47" s="2148"/>
      <c r="N47" s="1672"/>
      <c r="O47" s="1672"/>
      <c r="P47" s="1672"/>
      <c r="Q47" s="1672"/>
      <c r="R47" s="2148"/>
      <c r="S47" s="1672"/>
      <c r="T47" s="1672"/>
      <c r="U47" s="1056"/>
      <c r="V47" s="1672"/>
      <c r="W47" s="1672"/>
      <c r="X47" s="1672"/>
      <c r="Y47" s="1672"/>
      <c r="Z47" s="1672"/>
      <c r="AA47" s="2144"/>
      <c r="AB47" s="1078"/>
      <c r="AC47" s="1078"/>
      <c r="AD47" s="1078"/>
      <c r="AE47" s="1078"/>
      <c r="AF47" s="2153">
        <v>11</v>
      </c>
    </row>
    <row s="51564"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51564"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51564" customFormat="1" customHeight="1" ht="11.549999999999999">
      <c r="A50" s="1499"/>
      <c r="B50" s="2148"/>
      <c r="C50" s="2148"/>
      <c r="D50" s="863"/>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51564"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51564"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51564"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51564"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51564"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51564"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51564"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51564"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51564"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51564"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51564"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51564"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51564"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51564"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51564"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51564"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51564"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51564"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51564"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51564"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51564"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51564"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51564"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51564"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51564"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51564"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51564"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51564"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51564"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51564"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51564"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51564"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51564"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51564"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51564"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51564"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51564"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51564"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51564"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51564"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51564"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51564"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51564"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51564"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51564"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51564"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51564"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51564"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51564"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51564"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51564"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51564"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51564"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51564"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51564"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51564"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51564"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51564"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51564"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51564"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51564"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51564"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51564"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51564"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51564"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51564"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51564"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51564"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51564"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51564"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51564"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51564"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51564"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51564"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51564"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51564"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51564"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51564"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51564"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51564"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51564"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51564"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51564"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51564"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51564"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51564"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51564"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51564"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51564"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51564"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51564"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51564"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51564"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51564"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51564"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51564"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51564"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51564"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51564"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51564"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51564"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51564"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51564"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51564"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51564"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51564"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51564"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51564"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51564"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51564"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51564"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51564"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51564"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51564"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51564"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51564"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51564"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51564"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51564"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51564"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51564"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51564"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51564"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51564"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51564"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51564"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51564"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51564"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51564"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51564"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51564"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51564"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51564"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51564"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51564"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51564"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51564"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51564"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51564"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51564"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51564"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51564"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51564"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51564"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51564"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customHeight="1" ht="11.549999999999999">
      <c r="AF196" s="2143">
        <v>11</v>
      </c>
    </row>
    <row customHeight="1" ht="11.549999999999999">
      <c r="AF197" s="2143">
        <v>11</v>
      </c>
    </row>
    <row customHeight="1" ht="11.549999999999999">
      <c r="AF198" s="2143">
        <v>11</v>
      </c>
    </row>
    <row customHeight="1" ht="11.549999999999999">
      <c r="A199" s="1502"/>
      <c r="B199" s="2143"/>
      <c r="D199" s="2143"/>
      <c r="K199" s="2143"/>
      <c r="N199" s="2143"/>
      <c r="O199" s="2143"/>
      <c r="P199" s="2143"/>
      <c r="Q199" s="2143"/>
      <c r="S199" s="2143"/>
      <c r="T199" s="2143"/>
      <c r="U199" s="2143"/>
      <c r="V199" s="2143"/>
      <c r="W199" s="2143"/>
      <c r="X199" s="2143"/>
      <c r="Y199" s="2143"/>
      <c r="Z199" s="2143"/>
      <c r="AA199" s="2143"/>
      <c r="AB199" s="2143"/>
      <c r="AC199" s="2143"/>
      <c r="AD199" s="2143"/>
      <c r="AE199" s="2143"/>
      <c r="AF199" s="2143">
        <v>11</v>
      </c>
    </row>
    <row customHeight="1" ht="11.549999999999999">
      <c r="A200" s="1502"/>
      <c r="B200" s="2143"/>
      <c r="D200" s="2143"/>
      <c r="K200" s="2143"/>
      <c r="N200" s="2143"/>
      <c r="O200" s="2143"/>
      <c r="P200" s="2143"/>
      <c r="Q200" s="2143"/>
      <c r="S200" s="2143"/>
      <c r="T200" s="2143"/>
      <c r="U200" s="2143"/>
      <c r="V200" s="2143"/>
      <c r="W200" s="2143"/>
      <c r="X200" s="2143"/>
      <c r="Y200" s="2143"/>
      <c r="Z200" s="2143"/>
      <c r="AA200" s="2143"/>
      <c r="AB200" s="2143"/>
      <c r="AC200" s="2143"/>
      <c r="AD200" s="2143"/>
      <c r="AE200" s="2143"/>
      <c r="AF200" s="2143">
        <v>11</v>
      </c>
    </row>
    <row customHeight="1" ht="11.549999999999999">
      <c r="A201" s="1502"/>
      <c r="B201" s="2143"/>
      <c r="D201" s="2143"/>
      <c r="K201" s="2143"/>
      <c r="N201" s="2143"/>
      <c r="O201" s="2143"/>
      <c r="P201" s="2143"/>
      <c r="Q201" s="2143"/>
      <c r="S201" s="2143"/>
      <c r="T201" s="2143"/>
      <c r="U201" s="2143"/>
      <c r="V201" s="2143"/>
      <c r="W201" s="2143"/>
      <c r="X201" s="2143"/>
      <c r="Y201" s="2143"/>
      <c r="Z201" s="2143"/>
      <c r="AA201" s="2143"/>
      <c r="AB201" s="2143"/>
      <c r="AC201" s="2143"/>
      <c r="AD201" s="2143"/>
      <c r="AE201" s="2143"/>
      <c r="AF201" s="2143">
        <v>11</v>
      </c>
    </row>
    <row customHeight="1" ht="11.549999999999999">
      <c r="A202" s="1502"/>
      <c r="B202" s="2143"/>
      <c r="D202" s="2143"/>
      <c r="K202" s="2143"/>
      <c r="N202" s="2143"/>
      <c r="O202" s="2143"/>
      <c r="P202" s="2143"/>
      <c r="Q202" s="2143"/>
      <c r="S202" s="2143"/>
      <c r="T202" s="2143"/>
      <c r="U202" s="2143"/>
      <c r="V202" s="2143"/>
      <c r="W202" s="2143"/>
      <c r="X202" s="2143"/>
      <c r="Y202" s="2143"/>
      <c r="Z202" s="2143"/>
      <c r="AA202" s="2143"/>
      <c r="AB202" s="2143"/>
      <c r="AC202" s="2143"/>
      <c r="AD202" s="2143"/>
      <c r="AE202" s="2143"/>
      <c r="AF202" s="2143">
        <v>11</v>
      </c>
    </row>
    <row customHeight="1" ht="11.549999999999999">
      <c r="A203" s="1502"/>
      <c r="B203" s="2143"/>
      <c r="D203" s="2143"/>
      <c r="K203" s="2143"/>
      <c r="N203" s="2143"/>
      <c r="O203" s="2143"/>
      <c r="P203" s="2143"/>
      <c r="Q203" s="2143"/>
      <c r="S203" s="2143"/>
      <c r="T203" s="2143"/>
      <c r="U203" s="2143"/>
      <c r="V203" s="2143"/>
      <c r="W203" s="2143"/>
      <c r="X203" s="2143"/>
      <c r="Y203" s="2143"/>
      <c r="Z203" s="2143"/>
      <c r="AA203" s="2143"/>
      <c r="AB203" s="2143"/>
      <c r="AC203" s="2143"/>
      <c r="AD203" s="2143"/>
      <c r="AE203" s="2143"/>
      <c r="AF203" s="2143">
        <v>11</v>
      </c>
    </row>
    <row customHeight="1" ht="11.549999999999999">
      <c r="A204" s="1502"/>
      <c r="B204" s="2143"/>
      <c r="D204" s="2143"/>
      <c r="K204" s="2143"/>
      <c r="N204" s="2143"/>
      <c r="O204" s="2143"/>
      <c r="P204" s="2143"/>
      <c r="Q204" s="2143"/>
      <c r="S204" s="2143"/>
      <c r="T204" s="2143"/>
      <c r="U204" s="2143"/>
      <c r="V204" s="2143"/>
      <c r="W204" s="2143"/>
      <c r="X204" s="2143"/>
      <c r="Y204" s="2143"/>
      <c r="Z204" s="2143"/>
      <c r="AA204" s="2143"/>
      <c r="AB204" s="2143"/>
      <c r="AC204" s="2143"/>
      <c r="AD204" s="2143"/>
      <c r="AE204" s="2143"/>
      <c r="AF204" s="2143">
        <v>11</v>
      </c>
    </row>
    <row customHeight="1" ht="11.549999999999999">
      <c r="A205" s="1502"/>
      <c r="B205" s="2143"/>
      <c r="D205" s="2143"/>
      <c r="K205" s="2143"/>
      <c r="N205" s="2143"/>
      <c r="O205" s="2143"/>
      <c r="P205" s="2143"/>
      <c r="Q205" s="2143"/>
      <c r="S205" s="2143"/>
      <c r="T205" s="2143"/>
      <c r="U205" s="2143"/>
      <c r="V205" s="2143"/>
      <c r="W205" s="2143"/>
      <c r="X205" s="2143"/>
      <c r="Y205" s="2143"/>
      <c r="Z205" s="2143"/>
      <c r="AA205" s="2143"/>
      <c r="AB205" s="2143"/>
      <c r="AC205" s="2143"/>
      <c r="AD205" s="2143"/>
      <c r="AE205" s="2143"/>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25" hidden="1">
      <c r="A210" s="1499" t="s">
        <v>84</v>
      </c>
      <c r="B210" s="1672">
        <v>0</v>
      </c>
      <c r="C210" s="2148">
        <v>0</v>
      </c>
      <c r="D210" s="2147">
        <v>3</v>
      </c>
      <c r="E210" s="2143">
        <v>7</v>
      </c>
      <c r="F210" s="2143">
        <v>54</v>
      </c>
      <c r="G210" s="2143">
        <v>10</v>
      </c>
      <c r="H210" s="2143">
        <v>0</v>
      </c>
      <c r="I210" s="2143">
        <v>40</v>
      </c>
      <c r="J210" s="2143">
        <v>102</v>
      </c>
      <c r="K210" s="1672">
        <v>9</v>
      </c>
      <c r="L210" s="2148">
        <v>5</v>
      </c>
      <c r="M210" s="2148">
        <v>3</v>
      </c>
      <c r="N210" s="1672">
        <v>3</v>
      </c>
      <c r="O210" s="1672">
        <v>3</v>
      </c>
      <c r="P210" s="1672">
        <v>3</v>
      </c>
      <c r="Q210" s="1672">
        <v>3</v>
      </c>
      <c r="R210" s="2148">
        <v>10</v>
      </c>
      <c r="S210" s="1672">
        <v>34</v>
      </c>
      <c r="T210" s="1672">
        <v>9</v>
      </c>
      <c r="U210" s="1056">
        <v>8</v>
      </c>
      <c r="V210" s="1672">
        <v>8</v>
      </c>
      <c r="W210" s="1672">
        <v>8</v>
      </c>
      <c r="X210" s="1672">
        <v>8</v>
      </c>
      <c r="Y210" s="1672">
        <v>8</v>
      </c>
      <c r="Z210" s="1672">
        <v>8</v>
      </c>
      <c r="AA210" s="2144">
        <v>8</v>
      </c>
      <c r="AB210" s="2144">
        <v>8</v>
      </c>
      <c r="AC210" s="2144">
        <v>8</v>
      </c>
      <c r="AD210" s="2144">
        <v>8</v>
      </c>
      <c r="AE210" s="2144">
        <v>8</v>
      </c>
      <c r="AF210" s="2143">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18D07F-456D-088E-57EA-EDCA46E4BD67}" mc:Ignorable="x14ac xr xr2 xr3">
  <sheetPr>
    <tabColor theme="9" tint="-0.25"/>
  </sheetPr>
  <dimension ref="A1:X102"/>
  <sheetViews>
    <sheetView topLeftCell="A1" showGridLines="0" zoomScale="90" workbookViewId="0">
      <selection activeCell="A1" sqref="A1"/>
    </sheetView>
  </sheetViews>
  <sheetFormatPr defaultColWidth="10.57421875" customHeight="1" defaultRowHeight="11.25"/>
  <cols>
    <col min="1" max="1" style="60571" width="9.140625" hidden="1" customWidth="1"/>
    <col min="2" max="2" style="50882" width="3.57421875" hidden="1" customWidth="1"/>
    <col min="3" max="3" style="50801" width="3.00390625" customWidth="1"/>
    <col min="4" max="4" style="50801" width="7.00390625" customWidth="1"/>
    <col min="5" max="5" style="50801" width="69.00390625" customWidth="1"/>
    <col min="6" max="6" style="50801" width="10.00390625" customWidth="1"/>
    <col min="7" max="8" style="50801" width="44.00390625" hidden="1" customWidth="1"/>
    <col min="9" max="9" style="50801" width="44.00390625" customWidth="1"/>
    <col min="10" max="10" style="50801" width="43.00390625" customWidth="1"/>
    <col min="11" max="11" style="50801" width="73.00390625" customWidth="1"/>
    <col min="12" max="12" style="50801" width="3.00390625" customWidth="1"/>
    <col min="13" max="23" style="50801" width="10.00390625" customWidth="1"/>
    <col min="24" max="24" style="50801" width="10.57421875" hidden="1"/>
  </cols>
  <sheetData>
    <row s="50881" customFormat="1" customHeight="1" ht="22.5" hidden="1">
      <c r="A1" s="1048"/>
      <c r="B1" s="1023"/>
      <c r="G1" s="929">
        <v>4</v>
      </c>
      <c r="I1" s="929">
        <v>4</v>
      </c>
      <c r="K1" s="929">
        <v>5</v>
      </c>
      <c r="X1" s="929" t="s">
        <v>14</v>
      </c>
    </row>
    <row customHeight="1" ht="3">
      <c r="X2" s="1017">
        <v>3</v>
      </c>
    </row>
    <row customHeight="1" ht="78.75">
      <c r="D3" s="27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51"/>
      <c r="F3" s="2752"/>
      <c r="X3" s="1017">
        <v>75</v>
      </c>
    </row>
    <row s="50801" customFormat="1" customHeight="1" ht="21">
      <c r="A4" s="1463"/>
      <c r="B4" s="1023"/>
      <c r="D4" s="2726" t="str">
        <f>IF(org=0,"Не определено",org)</f>
        <v>КГУП "Примтеплоэнерго"</v>
      </c>
      <c r="E4" s="2727"/>
      <c r="F4" s="2728"/>
      <c r="X4" s="1270">
        <v>20</v>
      </c>
    </row>
    <row customHeight="1" ht="11.549999999999999">
      <c r="C5" s="1021"/>
      <c r="D5" s="1100"/>
      <c r="E5" s="1100"/>
      <c r="F5" s="1100"/>
      <c r="G5" s="1100"/>
      <c r="H5" s="1264"/>
      <c r="I5" s="1100"/>
      <c r="J5" s="1264"/>
      <c r="K5" s="1100"/>
      <c r="X5" s="1017">
        <v>11</v>
      </c>
    </row>
    <row customHeight="1" ht="1.05">
      <c r="C6" s="1021"/>
      <c r="D6" s="1021"/>
      <c r="E6" s="1034"/>
      <c r="F6" s="1126"/>
      <c r="G6" s="1534"/>
      <c r="H6" s="1534"/>
      <c r="I6" s="1534" t="s">
        <v>183</v>
      </c>
      <c r="J6" s="1534"/>
      <c r="X6" s="1017">
        <v>1</v>
      </c>
    </row>
    <row customHeight="1" ht="11.549999999999999">
      <c r="D7" s="1223"/>
      <c r="E7" s="2879" t="s">
        <v>175</v>
      </c>
      <c r="F7" s="2880"/>
      <c r="G7" s="2905" t="str">
        <f>IF(G6="","",INDEX(DIFFERENTIATION_UNMERGE_VD,MATCH(G6,DIFFERENTIATION_ID_DIFF,0)))</f>
        <v/>
      </c>
      <c r="H7" s="2906"/>
      <c r="I7" s="2905">
        <f>IF(I6="","",INDEX(DIFFERENTIATION_UNMERGE_VD,MATCH(I6,DIFFERENTIATION_ID_DIFF,0)))</f>
        <v>0</v>
      </c>
      <c r="J7" s="2906"/>
      <c r="K7" s="2687"/>
      <c r="L7" s="1021"/>
      <c r="X7" s="1017">
        <v>11</v>
      </c>
    </row>
    <row customHeight="1" ht="11.549999999999999">
      <c r="A8" s="1216"/>
      <c r="D8" s="1223"/>
      <c r="E8" s="2879" t="s">
        <v>702</v>
      </c>
      <c r="F8" s="2880"/>
      <c r="G8" s="2905" t="str">
        <f>IF(G6="","",INDEX(DIFFERENTIATION_UNMERGE_AREA,MATCH(G6,DIFFERENTIATION_ID_DIFF,0)))</f>
        <v/>
      </c>
      <c r="H8" s="2906"/>
      <c r="I8" s="2905" t="str">
        <f>IF(I6="","",INDEX(DIFFERENTIATION_UNMERGE_AREA,MATCH(I6,DIFFERENTIATION_ID_DIFF,0)))</f>
        <v/>
      </c>
      <c r="J8" s="2906"/>
      <c r="K8" s="2711"/>
      <c r="L8" s="1021"/>
      <c r="X8" s="1017">
        <v>11</v>
      </c>
    </row>
    <row customHeight="1" ht="11.549999999999999">
      <c r="A9" s="1216"/>
      <c r="D9" s="1223"/>
      <c r="E9" s="2879" t="s">
        <v>703</v>
      </c>
      <c r="F9" s="2880"/>
      <c r="G9" s="2905" t="str">
        <f>IF(G6="","",INDEX(DIFFERENTIATION_UNMERGE_SYSTEM,MATCH(G6,DIFFERENTIATION_ID_DIFF,0)))</f>
        <v/>
      </c>
      <c r="H9" s="2906"/>
      <c r="I9" s="2905" t="str">
        <f>IF(I6="","",INDEX(DIFFERENTIATION_UNMERGE_SYSTEM,MATCH(I6,DIFFERENTIATION_ID_DIFF,0)))</f>
        <v>без дифференциации</v>
      </c>
      <c r="J9" s="2906"/>
      <c r="K9" s="2711"/>
      <c r="L9" s="1021"/>
      <c r="X9" s="1017">
        <v>11</v>
      </c>
    </row>
    <row s="50801" customFormat="1" customHeight="1" ht="11.549999999999999">
      <c r="A10" s="1533"/>
      <c r="B10" s="1023"/>
      <c r="D10" s="2613" t="s">
        <v>439</v>
      </c>
      <c r="E10" s="2614"/>
      <c r="F10" s="2614"/>
      <c r="G10" s="2614"/>
      <c r="H10" s="2614"/>
      <c r="I10" s="2614"/>
      <c r="J10" s="2615"/>
      <c r="K10" s="2711"/>
      <c r="L10" s="1021"/>
      <c r="X10" s="1270">
        <v>11</v>
      </c>
    </row>
    <row s="50801" customFormat="1" customHeight="1" ht="24">
      <c r="A11" s="2897"/>
      <c r="B11" s="2897"/>
      <c r="C11" s="1169"/>
      <c r="D11" s="1215" t="s">
        <v>90</v>
      </c>
      <c r="E11" s="1217" t="s">
        <v>944</v>
      </c>
      <c r="F11" s="1217" t="s">
        <v>704</v>
      </c>
      <c r="G11" s="977" t="s">
        <v>442</v>
      </c>
      <c r="H11" s="977" t="s">
        <v>529</v>
      </c>
      <c r="I11" s="1319" t="s">
        <v>442</v>
      </c>
      <c r="J11" s="1320" t="s">
        <v>529</v>
      </c>
      <c r="K11" s="2744"/>
      <c r="L11" s="1170"/>
      <c r="X11" s="1021">
        <v>23</v>
      </c>
    </row>
    <row s="50882" customFormat="1" customHeight="1" ht="10.5">
      <c r="A12" s="1464"/>
      <c r="D12" s="1537" t="s">
        <v>101</v>
      </c>
      <c r="E12" s="1537" t="s">
        <v>105</v>
      </c>
      <c r="F12" s="1537" t="s">
        <v>92</v>
      </c>
      <c r="G12" s="1538" t="str">
        <f>G1&amp;".1"</f>
        <v>4.1</v>
      </c>
      <c r="H12" s="1538" t="str">
        <f>G1&amp;".2"</f>
        <v>4.2</v>
      </c>
      <c r="I12" s="1538" t="str">
        <f>I1&amp;".1"</f>
        <v>4.1</v>
      </c>
      <c r="J12" s="1538" t="str">
        <f>I1&amp;".2"</f>
        <v>4.2</v>
      </c>
      <c r="K12" s="1538"/>
      <c r="X12" s="1023">
        <v>10</v>
      </c>
    </row>
    <row customHeight="1" ht="22.5" hidden="1">
      <c r="A13" s="2904" t="s">
        <v>945</v>
      </c>
      <c r="D13" s="1465" t="s">
        <v>101</v>
      </c>
      <c r="E13" s="791" t="s">
        <v>946</v>
      </c>
      <c r="F13" s="1172" t="s">
        <v>947</v>
      </c>
      <c r="G13" s="1069"/>
      <c r="H13" s="1173"/>
      <c r="I13" s="1069"/>
      <c r="J13" s="1173"/>
      <c r="K13" s="801" t="s">
        <v>948</v>
      </c>
      <c r="L13" s="1232"/>
      <c r="X13" s="1017">
        <v>0</v>
      </c>
    </row>
    <row customHeight="1" ht="22.5" hidden="1">
      <c r="A14" s="2904"/>
      <c r="D14" s="1051" t="s">
        <v>105</v>
      </c>
      <c r="E14" s="791" t="s">
        <v>949</v>
      </c>
      <c r="F14" s="1172" t="s">
        <v>950</v>
      </c>
      <c r="G14" s="1069"/>
      <c r="H14" s="1174"/>
      <c r="I14" s="1069"/>
      <c r="J14" s="1174"/>
      <c r="K14" s="801" t="s">
        <v>951</v>
      </c>
      <c r="L14" s="1232"/>
      <c r="X14" s="1017">
        <v>0</v>
      </c>
    </row>
    <row s="50801" customFormat="1" customHeight="1" ht="78.75" hidden="1">
      <c r="A15" s="2904"/>
      <c r="B15" s="1023"/>
      <c r="D15" s="1465" t="s">
        <v>92</v>
      </c>
      <c r="E15" s="1219" t="s">
        <v>952</v>
      </c>
      <c r="F15" s="1462" t="s">
        <v>445</v>
      </c>
      <c r="G15" s="1462" t="s">
        <v>445</v>
      </c>
      <c r="H15" s="618"/>
      <c r="I15" s="1462" t="s">
        <v>445</v>
      </c>
      <c r="J15" s="618"/>
      <c r="K15" s="801" t="s">
        <v>953</v>
      </c>
      <c r="L15" s="1232"/>
      <c r="X15" s="1270">
        <v>0</v>
      </c>
    </row>
    <row s="50801" customFormat="1" customHeight="1" ht="22.5" hidden="1">
      <c r="A16" s="2904"/>
      <c r="B16" s="1023"/>
      <c r="D16" s="1465" t="s">
        <v>463</v>
      </c>
      <c r="E16" s="1466" t="s">
        <v>954</v>
      </c>
      <c r="F16" s="1462" t="s">
        <v>955</v>
      </c>
      <c r="G16" s="1329"/>
      <c r="H16" s="618"/>
      <c r="I16" s="1329"/>
      <c r="J16" s="618"/>
      <c r="K16" s="801"/>
      <c r="L16" s="1232"/>
      <c r="X16" s="1270">
        <v>0</v>
      </c>
    </row>
    <row s="50801" customFormat="1" customHeight="1" ht="22.5" hidden="1">
      <c r="A17" s="2904"/>
      <c r="B17" s="1023"/>
      <c r="D17" s="1465" t="s">
        <v>471</v>
      </c>
      <c r="E17" s="1466" t="s">
        <v>956</v>
      </c>
      <c r="F17" s="1462" t="s">
        <v>957</v>
      </c>
      <c r="G17" s="1329"/>
      <c r="H17" s="618"/>
      <c r="I17" s="1329"/>
      <c r="J17" s="618"/>
      <c r="K17" s="801"/>
      <c r="L17" s="1232"/>
      <c r="X17" s="1270">
        <v>0</v>
      </c>
    </row>
    <row s="50801" customFormat="1" customHeight="1" ht="33.75" hidden="1">
      <c r="A18" s="2904"/>
      <c r="B18" s="1023"/>
      <c r="D18" s="1465" t="s">
        <v>473</v>
      </c>
      <c r="E18" s="1466" t="s">
        <v>958</v>
      </c>
      <c r="F18" s="1462" t="s">
        <v>709</v>
      </c>
      <c r="G18" s="1192"/>
      <c r="H18" s="618"/>
      <c r="I18" s="1192"/>
      <c r="J18" s="618"/>
      <c r="K18" s="801"/>
      <c r="L18" s="1232"/>
      <c r="X18" s="1270">
        <v>0</v>
      </c>
    </row>
    <row customHeight="1" ht="101.25" hidden="1">
      <c r="A19" s="2904"/>
      <c r="D19" s="1465" t="s">
        <v>93</v>
      </c>
      <c r="E19" s="791" t="s">
        <v>959</v>
      </c>
      <c r="F19" s="1172" t="s">
        <v>684</v>
      </c>
      <c r="G19" s="1175"/>
      <c r="H19" s="1174"/>
      <c r="I19" s="1467"/>
      <c r="J19" s="1174"/>
      <c r="K19" s="801" t="s">
        <v>960</v>
      </c>
      <c r="L19" s="1232"/>
      <c r="X19" s="1017">
        <v>0</v>
      </c>
    </row>
    <row s="50801" customFormat="1" customHeight="1" ht="18.75" hidden="1">
      <c r="A20" s="2904"/>
      <c r="C20" s="1468"/>
      <c r="D20" s="1465" t="s">
        <v>891</v>
      </c>
      <c r="E20" s="1466" t="s">
        <v>961</v>
      </c>
      <c r="F20" s="1462" t="s">
        <v>445</v>
      </c>
      <c r="G20" s="1462" t="s">
        <v>445</v>
      </c>
      <c r="H20" s="1461" t="s">
        <v>445</v>
      </c>
      <c r="I20" s="1462" t="s">
        <v>445</v>
      </c>
      <c r="J20" s="1461" t="s">
        <v>445</v>
      </c>
      <c r="K20" s="1460"/>
      <c r="L20" s="1232"/>
      <c r="W20" s="1187"/>
      <c r="X20" s="1270">
        <v>0</v>
      </c>
    </row>
    <row s="50801" customFormat="1" customHeight="1" ht="33.75" hidden="1">
      <c r="A21" s="2904"/>
      <c r="C21" s="1468"/>
      <c r="D21" s="1465" t="s">
        <v>894</v>
      </c>
      <c r="E21" s="1088" t="s">
        <v>962</v>
      </c>
      <c r="F21" s="1462" t="s">
        <v>963</v>
      </c>
      <c r="G21" s="1192"/>
      <c r="H21" s="618"/>
      <c r="I21" s="1192"/>
      <c r="J21" s="618"/>
      <c r="K21" s="1460"/>
      <c r="L21" s="1232"/>
      <c r="W21" s="1187"/>
      <c r="X21" s="1270">
        <v>0</v>
      </c>
    </row>
    <row s="50801" customFormat="1" customHeight="1" ht="33.75" hidden="1">
      <c r="A22" s="2904"/>
      <c r="C22" s="1468"/>
      <c r="D22" s="1465" t="s">
        <v>897</v>
      </c>
      <c r="E22" s="1088" t="s">
        <v>964</v>
      </c>
      <c r="F22" s="1462" t="s">
        <v>965</v>
      </c>
      <c r="G22" s="1192"/>
      <c r="H22" s="618"/>
      <c r="I22" s="1192"/>
      <c r="J22" s="618"/>
      <c r="K22" s="1460"/>
      <c r="L22" s="1232"/>
      <c r="W22" s="1187"/>
      <c r="X22" s="1270">
        <v>0</v>
      </c>
    </row>
    <row s="50801" customFormat="1" customHeight="1" ht="22.5" hidden="1">
      <c r="A23" s="2904"/>
      <c r="C23" s="1468"/>
      <c r="D23" s="1465" t="s">
        <v>933</v>
      </c>
      <c r="E23" s="1466" t="s">
        <v>966</v>
      </c>
      <c r="F23" s="1462" t="s">
        <v>445</v>
      </c>
      <c r="G23" s="1462" t="s">
        <v>445</v>
      </c>
      <c r="H23" s="1461" t="s">
        <v>445</v>
      </c>
      <c r="I23" s="1462" t="s">
        <v>445</v>
      </c>
      <c r="J23" s="1461" t="s">
        <v>445</v>
      </c>
      <c r="K23" s="1460"/>
      <c r="L23" s="1232"/>
      <c r="W23" s="1187"/>
      <c r="X23" s="1270">
        <v>0</v>
      </c>
    </row>
    <row s="50801" customFormat="1" customHeight="1" ht="22.5" hidden="1">
      <c r="A24" s="2904"/>
      <c r="C24" s="1468"/>
      <c r="D24" s="1465" t="s">
        <v>967</v>
      </c>
      <c r="E24" s="1088" t="s">
        <v>968</v>
      </c>
      <c r="F24" s="1462" t="s">
        <v>969</v>
      </c>
      <c r="G24" s="1192"/>
      <c r="H24" s="1198"/>
      <c r="I24" s="1192"/>
      <c r="J24" s="1198"/>
      <c r="K24" s="1460"/>
      <c r="L24" s="1232"/>
      <c r="W24" s="1187"/>
      <c r="X24" s="1270">
        <v>0</v>
      </c>
    </row>
    <row s="50801" customFormat="1" customHeight="1" ht="22.5" hidden="1">
      <c r="A25" s="2904"/>
      <c r="C25" s="1468"/>
      <c r="D25" s="1465" t="s">
        <v>970</v>
      </c>
      <c r="E25" s="1088" t="s">
        <v>971</v>
      </c>
      <c r="F25" s="1462" t="s">
        <v>445</v>
      </c>
      <c r="G25" s="1462" t="s">
        <v>445</v>
      </c>
      <c r="H25" s="1461" t="s">
        <v>445</v>
      </c>
      <c r="I25" s="1462" t="s">
        <v>445</v>
      </c>
      <c r="J25" s="1461" t="s">
        <v>445</v>
      </c>
      <c r="K25" s="1460"/>
      <c r="L25" s="1232"/>
      <c r="W25" s="1187"/>
      <c r="X25" s="1270">
        <v>0</v>
      </c>
    </row>
    <row s="50801" customFormat="1" customHeight="1" ht="18.75" hidden="1">
      <c r="A26" s="2904"/>
      <c r="C26" s="1468"/>
      <c r="D26" s="1465" t="s">
        <v>972</v>
      </c>
      <c r="E26" s="1065" t="s">
        <v>973</v>
      </c>
      <c r="F26" s="1462" t="s">
        <v>974</v>
      </c>
      <c r="G26" s="1192"/>
      <c r="H26" s="1198"/>
      <c r="I26" s="1192"/>
      <c r="J26" s="1198"/>
      <c r="K26" s="1460"/>
      <c r="L26" s="1232"/>
      <c r="W26" s="1187"/>
      <c r="X26" s="1270">
        <v>0</v>
      </c>
    </row>
    <row s="50801" customFormat="1" customHeight="1" ht="18.75" hidden="1">
      <c r="A27" s="2904"/>
      <c r="C27" s="1468"/>
      <c r="D27" s="1465" t="s">
        <v>975</v>
      </c>
      <c r="E27" s="1065" t="s">
        <v>976</v>
      </c>
      <c r="F27" s="1462" t="s">
        <v>977</v>
      </c>
      <c r="G27" s="1192"/>
      <c r="H27" s="1198"/>
      <c r="I27" s="1192"/>
      <c r="J27" s="1198"/>
      <c r="K27" s="1460"/>
      <c r="L27" s="1232"/>
      <c r="W27" s="1187"/>
      <c r="X27" s="1270">
        <v>0</v>
      </c>
    </row>
    <row s="50801" customFormat="1" customHeight="1" ht="18.75" hidden="1">
      <c r="A28" s="2904"/>
      <c r="C28" s="1468"/>
      <c r="D28" s="1465" t="s">
        <v>978</v>
      </c>
      <c r="E28" s="1088" t="s">
        <v>979</v>
      </c>
      <c r="F28" s="1462" t="s">
        <v>445</v>
      </c>
      <c r="G28" s="1462" t="s">
        <v>445</v>
      </c>
      <c r="H28" s="1461" t="s">
        <v>445</v>
      </c>
      <c r="I28" s="1462" t="s">
        <v>445</v>
      </c>
      <c r="J28" s="1461" t="s">
        <v>445</v>
      </c>
      <c r="K28" s="1460"/>
      <c r="L28" s="1232"/>
      <c r="W28" s="1187"/>
      <c r="X28" s="1270">
        <v>0</v>
      </c>
    </row>
    <row s="50801" customFormat="1" customHeight="1" ht="18.75" hidden="1">
      <c r="A29" s="2904"/>
      <c r="C29" s="1468"/>
      <c r="D29" s="1465" t="s">
        <v>980</v>
      </c>
      <c r="E29" s="1065" t="s">
        <v>973</v>
      </c>
      <c r="F29" s="1462" t="s">
        <v>981</v>
      </c>
      <c r="G29" s="1192"/>
      <c r="H29" s="1198"/>
      <c r="I29" s="1192"/>
      <c r="J29" s="1198"/>
      <c r="K29" s="1460"/>
      <c r="L29" s="1232"/>
      <c r="W29" s="1187"/>
      <c r="X29" s="1270">
        <v>0</v>
      </c>
    </row>
    <row s="50801" customFormat="1" customHeight="1" ht="18.75" hidden="1">
      <c r="A30" s="2904"/>
      <c r="C30" s="1468"/>
      <c r="D30" s="1465" t="s">
        <v>982</v>
      </c>
      <c r="E30" s="1065" t="s">
        <v>983</v>
      </c>
      <c r="F30" s="1462" t="s">
        <v>984</v>
      </c>
      <c r="G30" s="1192"/>
      <c r="H30" s="1198"/>
      <c r="I30" s="1192"/>
      <c r="J30" s="1198"/>
      <c r="K30" s="1460"/>
      <c r="L30" s="1232"/>
      <c r="W30" s="1187"/>
      <c r="X30" s="1270">
        <v>0</v>
      </c>
    </row>
    <row customHeight="1" ht="126.75" hidden="1">
      <c r="A31" s="2904"/>
      <c r="D31" s="1465" t="s">
        <v>121</v>
      </c>
      <c r="E31" s="791" t="s">
        <v>985</v>
      </c>
      <c r="F31" s="1172" t="s">
        <v>696</v>
      </c>
      <c r="G31" s="1069"/>
      <c r="H31" s="1174"/>
      <c r="I31" s="1069"/>
      <c r="J31" s="1174"/>
      <c r="K31" s="801" t="s">
        <v>986</v>
      </c>
      <c r="L31" s="1232"/>
      <c r="X31" s="1017">
        <v>0</v>
      </c>
    </row>
    <row customHeight="1" ht="56.25" hidden="1">
      <c r="A32" s="2904"/>
      <c r="D32" s="1465" t="s">
        <v>94</v>
      </c>
      <c r="E32" s="791" t="s">
        <v>987</v>
      </c>
      <c r="F32" s="1051" t="s">
        <v>957</v>
      </c>
      <c r="G32" s="1069"/>
      <c r="H32" s="1174"/>
      <c r="I32" s="1069"/>
      <c r="J32" s="1174"/>
      <c r="K32" s="801" t="s">
        <v>988</v>
      </c>
      <c r="L32" s="1232"/>
      <c r="X32" s="1017">
        <v>0</v>
      </c>
    </row>
    <row customHeight="1" ht="11.25" hidden="1">
      <c r="A33" s="2904"/>
      <c r="E33" s="1176"/>
      <c r="F33" s="693"/>
      <c r="G33" s="693"/>
      <c r="H33" s="693"/>
      <c r="I33" s="693"/>
      <c r="J33" s="693"/>
      <c r="K33" s="693"/>
      <c r="X33" s="1017">
        <v>0</v>
      </c>
    </row>
    <row customHeight="1" ht="12.75" hidden="1">
      <c r="A34" s="2904"/>
      <c r="D34" s="577">
        <v>1</v>
      </c>
      <c r="E34" s="847" t="s">
        <v>989</v>
      </c>
      <c r="X34" s="1017">
        <v>0</v>
      </c>
    </row>
    <row customHeight="1" ht="11.25" hidden="1">
      <c r="A35" s="2904"/>
      <c r="D35" s="881"/>
      <c r="E35" s="847" t="s">
        <v>990</v>
      </c>
      <c r="X35" s="1017">
        <v>0</v>
      </c>
    </row>
    <row s="50801" customFormat="1" customHeight="1" ht="11.549999999999999">
      <c r="A36" s="1545"/>
      <c r="B36" s="1030"/>
      <c r="D36" s="1546"/>
      <c r="E36" s="1547"/>
      <c r="X36" s="1021">
        <v>11</v>
      </c>
    </row>
    <row s="50801" customFormat="1" customHeight="1" ht="22.5">
      <c r="A37" s="2904" t="s">
        <v>991</v>
      </c>
      <c r="B37" s="1023"/>
      <c r="D37" s="1465">
        <v>1</v>
      </c>
      <c r="E37" s="1219" t="s">
        <v>992</v>
      </c>
      <c r="F37" s="1172" t="s">
        <v>947</v>
      </c>
      <c r="G37" s="1069"/>
      <c r="H37" s="1031"/>
      <c r="I37" s="1069"/>
      <c r="J37" s="1031"/>
      <c r="K37" s="801" t="s">
        <v>993</v>
      </c>
      <c r="X37" s="1270">
        <v>0</v>
      </c>
    </row>
    <row s="50801" customFormat="1" customHeight="1" ht="22.5">
      <c r="A38" s="2904"/>
      <c r="B38" s="1023"/>
      <c r="D38" s="1181" t="s">
        <v>105</v>
      </c>
      <c r="E38" s="1544" t="s">
        <v>994</v>
      </c>
      <c r="F38" s="1548" t="s">
        <v>684</v>
      </c>
      <c r="G38" s="1548" t="s">
        <v>684</v>
      </c>
      <c r="H38" s="1542"/>
      <c r="I38" s="1548" t="s">
        <v>684</v>
      </c>
      <c r="J38" s="1542"/>
      <c r="K38" s="1543"/>
      <c r="X38" s="1270">
        <v>0</v>
      </c>
    </row>
    <row s="50801" customFormat="1" customHeight="1" ht="33.75">
      <c r="A39" s="2904"/>
      <c r="B39" s="1023"/>
      <c r="D39" s="1177" t="s">
        <v>849</v>
      </c>
      <c r="E39" s="1235" t="s">
        <v>995</v>
      </c>
      <c r="F39" s="1172" t="s">
        <v>996</v>
      </c>
      <c r="G39" s="1180"/>
      <c r="H39" s="1535"/>
      <c r="I39" s="1180"/>
      <c r="J39" s="1535"/>
      <c r="K39" s="801" t="s">
        <v>997</v>
      </c>
      <c r="X39" s="1270">
        <v>0</v>
      </c>
    </row>
    <row s="50801" customFormat="1" customHeight="1" ht="33.75">
      <c r="A40" s="2904"/>
      <c r="B40" s="1023"/>
      <c r="D40" s="1177" t="s">
        <v>852</v>
      </c>
      <c r="E40" s="1235" t="s">
        <v>998</v>
      </c>
      <c r="F40" s="1539" t="s">
        <v>999</v>
      </c>
      <c r="G40" s="1253"/>
      <c r="H40" s="1535"/>
      <c r="I40" s="1253"/>
      <c r="J40" s="1535"/>
      <c r="K40" s="801" t="s">
        <v>1000</v>
      </c>
      <c r="X40" s="1270">
        <v>0</v>
      </c>
    </row>
    <row s="50801" customFormat="1" customHeight="1" ht="22.5">
      <c r="A41" s="2904"/>
      <c r="B41" s="1023"/>
      <c r="D41" s="1177" t="s">
        <v>92</v>
      </c>
      <c r="E41" s="1234" t="s">
        <v>1001</v>
      </c>
      <c r="F41" s="1172" t="s">
        <v>684</v>
      </c>
      <c r="G41" s="1172" t="s">
        <v>684</v>
      </c>
      <c r="H41" s="1536"/>
      <c r="I41" s="1172" t="s">
        <v>684</v>
      </c>
      <c r="J41" s="1536"/>
      <c r="K41" s="814"/>
      <c r="X41" s="1270">
        <v>0</v>
      </c>
    </row>
    <row s="50801" customFormat="1" customHeight="1" ht="45">
      <c r="A42" s="2904"/>
      <c r="B42" s="1023"/>
      <c r="D42" s="1177" t="s">
        <v>463</v>
      </c>
      <c r="E42" s="1235" t="s">
        <v>1002</v>
      </c>
      <c r="F42" s="1172" t="s">
        <v>696</v>
      </c>
      <c r="G42" s="1069"/>
      <c r="H42" s="1536"/>
      <c r="I42" s="1069"/>
      <c r="J42" s="1536"/>
      <c r="K42" s="814" t="s">
        <v>1003</v>
      </c>
      <c r="X42" s="1270">
        <v>0</v>
      </c>
    </row>
    <row s="50801" customFormat="1" customHeight="1" ht="45">
      <c r="A43" s="2904"/>
      <c r="B43" s="1023"/>
      <c r="D43" s="1177" t="s">
        <v>471</v>
      </c>
      <c r="E43" s="1179" t="s">
        <v>1004</v>
      </c>
      <c r="F43" s="1540" t="s">
        <v>696</v>
      </c>
      <c r="G43" s="1254"/>
      <c r="H43" s="1535"/>
      <c r="I43" s="1254"/>
      <c r="J43" s="1535"/>
      <c r="K43" s="814" t="s">
        <v>1005</v>
      </c>
      <c r="X43" s="1270">
        <v>0</v>
      </c>
    </row>
    <row s="50801" customFormat="1" customHeight="1" ht="11.25">
      <c r="A44" s="2904"/>
      <c r="B44" s="1023"/>
      <c r="D44" s="1177" t="s">
        <v>93</v>
      </c>
      <c r="E44" s="1178" t="s">
        <v>1006</v>
      </c>
      <c r="F44" s="1172" t="s">
        <v>996</v>
      </c>
      <c r="G44" s="1180"/>
      <c r="H44" s="1535"/>
      <c r="I44" s="1180"/>
      <c r="J44" s="1535"/>
      <c r="K44" s="801"/>
      <c r="X44" s="1270">
        <v>0</v>
      </c>
    </row>
    <row s="50801" customFormat="1" customHeight="1" ht="11.25">
      <c r="A45" s="2904"/>
      <c r="B45" s="1023"/>
      <c r="D45" s="1177" t="s">
        <v>891</v>
      </c>
      <c r="E45" s="1179" t="s">
        <v>1007</v>
      </c>
      <c r="F45" s="1172" t="s">
        <v>996</v>
      </c>
      <c r="G45" s="1180"/>
      <c r="H45" s="1535"/>
      <c r="I45" s="1180"/>
      <c r="J45" s="1535"/>
      <c r="K45" s="801"/>
      <c r="X45" s="1270">
        <v>0</v>
      </c>
    </row>
    <row s="50801" customFormat="1" customHeight="1" ht="11.25">
      <c r="A46" s="2904"/>
      <c r="B46" s="1023"/>
      <c r="D46" s="1177" t="s">
        <v>933</v>
      </c>
      <c r="E46" s="1179" t="s">
        <v>1008</v>
      </c>
      <c r="F46" s="1172" t="s">
        <v>996</v>
      </c>
      <c r="G46" s="1180"/>
      <c r="H46" s="1535"/>
      <c r="I46" s="1180"/>
      <c r="J46" s="1535"/>
      <c r="K46" s="801"/>
      <c r="X46" s="1270">
        <v>0</v>
      </c>
    </row>
    <row s="50801" customFormat="1" customHeight="1" ht="11.25">
      <c r="A47" s="2904"/>
      <c r="B47" s="1023"/>
      <c r="D47" s="1177" t="s">
        <v>936</v>
      </c>
      <c r="E47" s="1179" t="s">
        <v>1009</v>
      </c>
      <c r="F47" s="1172" t="s">
        <v>996</v>
      </c>
      <c r="G47" s="1180"/>
      <c r="H47" s="1535"/>
      <c r="I47" s="1180"/>
      <c r="J47" s="1535"/>
      <c r="K47" s="801"/>
      <c r="X47" s="1270">
        <v>0</v>
      </c>
    </row>
    <row s="50801" customFormat="1" customHeight="1" ht="11.25">
      <c r="A48" s="2904"/>
      <c r="B48" s="1023"/>
      <c r="D48" s="1177" t="s">
        <v>1010</v>
      </c>
      <c r="E48" s="1183" t="s">
        <v>1011</v>
      </c>
      <c r="F48" s="1172" t="s">
        <v>996</v>
      </c>
      <c r="G48" s="1180"/>
      <c r="H48" s="1535"/>
      <c r="I48" s="1180"/>
      <c r="J48" s="1535"/>
      <c r="K48" s="801"/>
      <c r="X48" s="1270">
        <v>0</v>
      </c>
    </row>
    <row s="50801" customFormat="1" customHeight="1" ht="11.25">
      <c r="A49" s="2904"/>
      <c r="B49" s="1023"/>
      <c r="D49" s="1177" t="s">
        <v>1012</v>
      </c>
      <c r="E49" s="1183" t="s">
        <v>1013</v>
      </c>
      <c r="F49" s="1172" t="s">
        <v>996</v>
      </c>
      <c r="G49" s="1180"/>
      <c r="H49" s="1535"/>
      <c r="I49" s="1180"/>
      <c r="J49" s="1535"/>
      <c r="K49" s="801"/>
      <c r="X49" s="1270">
        <v>0</v>
      </c>
    </row>
    <row s="50801" customFormat="1" customHeight="1" ht="11.25">
      <c r="A50" s="2904"/>
      <c r="B50" s="1023"/>
      <c r="D50" s="1177" t="s">
        <v>1014</v>
      </c>
      <c r="E50" s="1179" t="s">
        <v>1015</v>
      </c>
      <c r="F50" s="1172" t="s">
        <v>996</v>
      </c>
      <c r="G50" s="1180"/>
      <c r="H50" s="1535"/>
      <c r="I50" s="1180"/>
      <c r="J50" s="1535"/>
      <c r="K50" s="801"/>
      <c r="X50" s="1270">
        <v>0</v>
      </c>
    </row>
    <row s="50801" customFormat="1" customHeight="1" ht="11.25">
      <c r="A51" s="2904"/>
      <c r="B51" s="1023"/>
      <c r="D51" s="1177" t="s">
        <v>1016</v>
      </c>
      <c r="E51" s="1179" t="s">
        <v>1017</v>
      </c>
      <c r="F51" s="1172" t="s">
        <v>996</v>
      </c>
      <c r="G51" s="1180"/>
      <c r="H51" s="1535"/>
      <c r="I51" s="1180"/>
      <c r="J51" s="1535"/>
      <c r="K51" s="801"/>
      <c r="X51" s="1270">
        <v>0</v>
      </c>
    </row>
    <row s="50801" customFormat="1" customHeight="1" ht="45">
      <c r="A52" s="2904"/>
      <c r="B52" s="1023"/>
      <c r="D52" s="1177" t="s">
        <v>121</v>
      </c>
      <c r="E52" s="1178" t="s">
        <v>1018</v>
      </c>
      <c r="F52" s="1172" t="s">
        <v>996</v>
      </c>
      <c r="G52" s="1180"/>
      <c r="H52" s="1535"/>
      <c r="I52" s="1180"/>
      <c r="J52" s="1535"/>
      <c r="K52" s="801"/>
      <c r="X52" s="1270">
        <v>0</v>
      </c>
    </row>
    <row s="50801" customFormat="1" customHeight="1" ht="11.25">
      <c r="A53" s="2904"/>
      <c r="B53" s="1023"/>
      <c r="D53" s="1177" t="s">
        <v>452</v>
      </c>
      <c r="E53" s="1179" t="s">
        <v>1007</v>
      </c>
      <c r="F53" s="1172" t="s">
        <v>996</v>
      </c>
      <c r="G53" s="1180"/>
      <c r="H53" s="1535"/>
      <c r="I53" s="1180"/>
      <c r="J53" s="1535"/>
      <c r="K53" s="801"/>
      <c r="X53" s="1270">
        <v>0</v>
      </c>
    </row>
    <row s="50801" customFormat="1" customHeight="1" ht="11.25">
      <c r="A54" s="2904"/>
      <c r="B54" s="1023"/>
      <c r="D54" s="1177" t="s">
        <v>1019</v>
      </c>
      <c r="E54" s="1179" t="s">
        <v>1008</v>
      </c>
      <c r="F54" s="1172" t="s">
        <v>996</v>
      </c>
      <c r="G54" s="1180"/>
      <c r="H54" s="1535"/>
      <c r="I54" s="1180"/>
      <c r="J54" s="1535"/>
      <c r="K54" s="801"/>
      <c r="X54" s="1270">
        <v>0</v>
      </c>
    </row>
    <row s="50801" customFormat="1" customHeight="1" ht="11.25">
      <c r="A55" s="2904"/>
      <c r="B55" s="1023"/>
      <c r="D55" s="1177" t="s">
        <v>1020</v>
      </c>
      <c r="E55" s="1179" t="s">
        <v>1009</v>
      </c>
      <c r="F55" s="1172" t="s">
        <v>996</v>
      </c>
      <c r="G55" s="1180"/>
      <c r="H55" s="1535"/>
      <c r="I55" s="1180"/>
      <c r="J55" s="1535"/>
      <c r="K55" s="801"/>
      <c r="X55" s="1270">
        <v>0</v>
      </c>
    </row>
    <row s="50801" customFormat="1" customHeight="1" ht="11.25">
      <c r="A56" s="2904"/>
      <c r="B56" s="1023"/>
      <c r="D56" s="1177" t="s">
        <v>1021</v>
      </c>
      <c r="E56" s="1183" t="s">
        <v>1011</v>
      </c>
      <c r="F56" s="1172" t="s">
        <v>996</v>
      </c>
      <c r="G56" s="1180"/>
      <c r="H56" s="1535"/>
      <c r="I56" s="1180"/>
      <c r="J56" s="1535"/>
      <c r="K56" s="801"/>
      <c r="X56" s="1270">
        <v>0</v>
      </c>
    </row>
    <row s="50801" customFormat="1" customHeight="1" ht="11.25">
      <c r="A57" s="2904"/>
      <c r="B57" s="1023"/>
      <c r="D57" s="1177" t="s">
        <v>1022</v>
      </c>
      <c r="E57" s="1183" t="s">
        <v>1013</v>
      </c>
      <c r="F57" s="1172" t="s">
        <v>996</v>
      </c>
      <c r="G57" s="1180"/>
      <c r="H57" s="1535"/>
      <c r="I57" s="1180"/>
      <c r="J57" s="1535"/>
      <c r="K57" s="801"/>
      <c r="X57" s="1270">
        <v>0</v>
      </c>
    </row>
    <row s="50801" customFormat="1" customHeight="1" ht="11.25">
      <c r="A58" s="2904"/>
      <c r="B58" s="1023"/>
      <c r="D58" s="1177" t="s">
        <v>1023</v>
      </c>
      <c r="E58" s="1179" t="s">
        <v>1015</v>
      </c>
      <c r="F58" s="1172" t="s">
        <v>996</v>
      </c>
      <c r="G58" s="1180"/>
      <c r="H58" s="1535"/>
      <c r="I58" s="1180"/>
      <c r="J58" s="1535"/>
      <c r="K58" s="801"/>
      <c r="X58" s="1270">
        <v>0</v>
      </c>
    </row>
    <row s="50801" customFormat="1" customHeight="1" ht="11.25">
      <c r="A59" s="2904"/>
      <c r="B59" s="1023"/>
      <c r="D59" s="1177" t="s">
        <v>1024</v>
      </c>
      <c r="E59" s="1179" t="s">
        <v>1017</v>
      </c>
      <c r="F59" s="1172" t="s">
        <v>996</v>
      </c>
      <c r="G59" s="1180"/>
      <c r="H59" s="1535"/>
      <c r="I59" s="1180"/>
      <c r="J59" s="1535"/>
      <c r="K59" s="801"/>
      <c r="X59" s="1270">
        <v>0</v>
      </c>
    </row>
    <row s="50801" customFormat="1" customHeight="1" ht="33.75">
      <c r="A60" s="2904"/>
      <c r="B60" s="1023"/>
      <c r="D60" s="1177" t="s">
        <v>94</v>
      </c>
      <c r="E60" s="1178" t="s">
        <v>1025</v>
      </c>
      <c r="F60" s="1233" t="s">
        <v>696</v>
      </c>
      <c r="G60" s="1254"/>
      <c r="H60" s="1535"/>
      <c r="I60" s="1254"/>
      <c r="J60" s="1535"/>
      <c r="K60" s="814" t="s">
        <v>1026</v>
      </c>
      <c r="X60" s="1270">
        <v>0</v>
      </c>
    </row>
    <row s="50801" customFormat="1" customHeight="1" ht="33.75">
      <c r="A61" s="2904"/>
      <c r="B61" s="1023"/>
      <c r="D61" s="1177" t="s">
        <v>95</v>
      </c>
      <c r="E61" s="1178" t="s">
        <v>1027</v>
      </c>
      <c r="F61" s="1238" t="s">
        <v>957</v>
      </c>
      <c r="G61" s="1180"/>
      <c r="H61" s="1535"/>
      <c r="I61" s="1180"/>
      <c r="J61" s="1535"/>
      <c r="K61" s="801"/>
      <c r="X61" s="1270">
        <v>0</v>
      </c>
    </row>
    <row s="50801" customFormat="1" customHeight="1" ht="22.5">
      <c r="A62" s="2904"/>
      <c r="B62" s="1023" t="s">
        <v>726</v>
      </c>
      <c r="D62" s="1177" t="s">
        <v>135</v>
      </c>
      <c r="E62" s="1178" t="s">
        <v>1028</v>
      </c>
      <c r="F62" s="1238" t="s">
        <v>445</v>
      </c>
      <c r="G62" s="894"/>
      <c r="H62" s="1535"/>
      <c r="I62" s="894"/>
      <c r="J62" s="1535"/>
      <c r="K62" s="801" t="s">
        <v>769</v>
      </c>
      <c r="X62" s="1270">
        <v>0</v>
      </c>
    </row>
    <row s="50801" customFormat="1" customHeight="1" ht="45">
      <c r="A63" s="2904"/>
      <c r="B63" s="1023" t="s">
        <v>726</v>
      </c>
      <c r="D63" s="1177" t="s">
        <v>1029</v>
      </c>
      <c r="E63" s="1179" t="s">
        <v>1030</v>
      </c>
      <c r="F63" s="1233" t="s">
        <v>445</v>
      </c>
      <c r="G63" s="894"/>
      <c r="H63" s="1535"/>
      <c r="I63" s="894"/>
      <c r="J63" s="1535"/>
      <c r="K63" s="801" t="s">
        <v>769</v>
      </c>
      <c r="X63" s="1270">
        <v>0</v>
      </c>
    </row>
    <row s="50801" customFormat="1" customHeight="1" ht="11.549999999999999">
      <c r="A64" s="1545"/>
      <c r="B64" s="1030"/>
      <c r="D64" s="1546"/>
      <c r="E64" s="1547"/>
      <c r="X64" s="1021">
        <v>11</v>
      </c>
    </row>
    <row s="50801" customFormat="1" customHeight="1" ht="22.5" hidden="1">
      <c r="A65" s="2904" t="s">
        <v>1031</v>
      </c>
      <c r="B65" s="1023"/>
      <c r="D65" s="1177">
        <v>1</v>
      </c>
      <c r="E65" s="1256" t="s">
        <v>1032</v>
      </c>
      <c r="F65" s="1252" t="s">
        <v>947</v>
      </c>
      <c r="G65" s="1253"/>
      <c r="H65" s="1541"/>
      <c r="I65" s="1253"/>
      <c r="J65" s="1541"/>
      <c r="K65" s="813" t="s">
        <v>1033</v>
      </c>
      <c r="X65" s="1270">
        <v>0</v>
      </c>
    </row>
    <row s="50801" customFormat="1" customHeight="1" ht="56.25" hidden="1">
      <c r="A66" s="2904"/>
      <c r="B66" s="1023"/>
      <c r="D66" s="1255" t="s">
        <v>105</v>
      </c>
      <c r="E66" s="1219" t="s">
        <v>1034</v>
      </c>
      <c r="F66" s="1172" t="s">
        <v>684</v>
      </c>
      <c r="G66" s="1172" t="s">
        <v>684</v>
      </c>
      <c r="H66" s="1031"/>
      <c r="I66" s="1172" t="s">
        <v>684</v>
      </c>
      <c r="J66" s="1031"/>
      <c r="K66" s="801"/>
      <c r="X66" s="1270">
        <v>0</v>
      </c>
    </row>
    <row s="50801" customFormat="1" customHeight="1" ht="33.75" hidden="1">
      <c r="A67" s="2904"/>
      <c r="B67" s="1023"/>
      <c r="D67" s="1255" t="s">
        <v>846</v>
      </c>
      <c r="E67" s="1466" t="s">
        <v>1035</v>
      </c>
      <c r="F67" s="1172" t="s">
        <v>999</v>
      </c>
      <c r="G67" s="1239"/>
      <c r="H67" s="1031"/>
      <c r="I67" s="1239"/>
      <c r="J67" s="1031"/>
      <c r="K67" s="801"/>
      <c r="X67" s="1270">
        <v>0</v>
      </c>
    </row>
    <row s="50801" customFormat="1" customHeight="1" ht="22.5" hidden="1">
      <c r="A68" s="2904"/>
      <c r="B68" s="1023"/>
      <c r="D68" s="1255" t="s">
        <v>446</v>
      </c>
      <c r="E68" s="1466" t="s">
        <v>1036</v>
      </c>
      <c r="F68" s="1172" t="s">
        <v>999</v>
      </c>
      <c r="G68" s="1239"/>
      <c r="H68" s="1031"/>
      <c r="I68" s="1239"/>
      <c r="J68" s="1031"/>
      <c r="K68" s="801"/>
      <c r="X68" s="1270">
        <v>0</v>
      </c>
    </row>
    <row s="50801" customFormat="1" customHeight="1" ht="22.5" hidden="1">
      <c r="A69" s="2904"/>
      <c r="B69" s="1023"/>
      <c r="D69" s="1255" t="s">
        <v>449</v>
      </c>
      <c r="E69" s="1466" t="s">
        <v>1037</v>
      </c>
      <c r="F69" s="1233" t="s">
        <v>696</v>
      </c>
      <c r="G69" s="1254"/>
      <c r="H69" s="1031"/>
      <c r="I69" s="1254"/>
      <c r="J69" s="1031"/>
      <c r="K69" s="801"/>
      <c r="X69" s="1270">
        <v>0</v>
      </c>
    </row>
    <row s="50801" customFormat="1" customHeight="1" ht="22.5" hidden="1">
      <c r="A70" s="2904"/>
      <c r="B70" s="1023"/>
      <c r="D70" s="1255" t="s">
        <v>866</v>
      </c>
      <c r="E70" s="1466" t="s">
        <v>1038</v>
      </c>
      <c r="F70" s="1233" t="s">
        <v>696</v>
      </c>
      <c r="G70" s="1254"/>
      <c r="H70" s="1031"/>
      <c r="I70" s="1254"/>
      <c r="J70" s="1031"/>
      <c r="K70" s="801"/>
      <c r="X70" s="1270">
        <v>0</v>
      </c>
    </row>
    <row s="50801" customFormat="1" customHeight="1" ht="22.5" hidden="1">
      <c r="A71" s="2904"/>
      <c r="B71" s="1023"/>
      <c r="D71" s="1177" t="s">
        <v>92</v>
      </c>
      <c r="E71" s="1178" t="s">
        <v>1039</v>
      </c>
      <c r="F71" s="1172" t="s">
        <v>999</v>
      </c>
      <c r="G71" s="1069"/>
      <c r="H71" s="1542"/>
      <c r="I71" s="1069"/>
      <c r="J71" s="1542"/>
      <c r="K71" s="814"/>
      <c r="X71" s="1270">
        <v>0</v>
      </c>
    </row>
    <row s="50801" customFormat="1" customHeight="1" ht="56.25" hidden="1">
      <c r="A72" s="2904"/>
      <c r="B72" s="1023"/>
      <c r="D72" s="1177" t="s">
        <v>93</v>
      </c>
      <c r="E72" s="1178" t="s">
        <v>1040</v>
      </c>
      <c r="F72" s="1233" t="s">
        <v>696</v>
      </c>
      <c r="G72" s="1254"/>
      <c r="H72" s="1535"/>
      <c r="I72" s="1254"/>
      <c r="J72" s="1535"/>
      <c r="K72" s="814"/>
      <c r="X72" s="1270">
        <v>0</v>
      </c>
    </row>
    <row s="50801" customFormat="1" customHeight="1" ht="33.75" hidden="1">
      <c r="A73" s="2904"/>
      <c r="B73" s="1023"/>
      <c r="D73" s="1177" t="s">
        <v>121</v>
      </c>
      <c r="E73" s="1178" t="s">
        <v>1041</v>
      </c>
      <c r="F73" s="1238" t="s">
        <v>957</v>
      </c>
      <c r="G73" s="1180"/>
      <c r="H73" s="1535"/>
      <c r="I73" s="1180"/>
      <c r="J73" s="1535"/>
      <c r="K73" s="801"/>
      <c r="X73" s="1270">
        <v>0</v>
      </c>
    </row>
    <row s="50801" customFormat="1" customHeight="1" ht="22.5" hidden="1">
      <c r="A74" s="2904"/>
      <c r="B74" s="1023" t="s">
        <v>726</v>
      </c>
      <c r="D74" s="1177" t="s">
        <v>94</v>
      </c>
      <c r="E74" s="1178" t="s">
        <v>1042</v>
      </c>
      <c r="F74" s="1238" t="s">
        <v>445</v>
      </c>
      <c r="G74" s="894"/>
      <c r="H74" s="1535"/>
      <c r="I74" s="894"/>
      <c r="J74" s="1535"/>
      <c r="K74" s="801" t="s">
        <v>769</v>
      </c>
      <c r="X74" s="1270">
        <v>0</v>
      </c>
    </row>
    <row s="50801" customFormat="1" customHeight="1" ht="45" hidden="1">
      <c r="A75" s="2904"/>
      <c r="B75" s="1023" t="s">
        <v>726</v>
      </c>
      <c r="D75" s="1177" t="s">
        <v>790</v>
      </c>
      <c r="E75" s="1179" t="s">
        <v>1043</v>
      </c>
      <c r="F75" s="1233" t="s">
        <v>445</v>
      </c>
      <c r="G75" s="894"/>
      <c r="H75" s="1535"/>
      <c r="I75" s="894"/>
      <c r="J75" s="1535"/>
      <c r="K75" s="801" t="s">
        <v>769</v>
      </c>
      <c r="X75" s="1270">
        <v>0</v>
      </c>
    </row>
    <row s="50801" customFormat="1" customHeight="1" ht="11.549999999999999">
      <c r="A76" s="1545"/>
      <c r="B76" s="1030"/>
      <c r="D76" s="1546"/>
      <c r="E76" s="1547"/>
      <c r="X76" s="1021">
        <v>11</v>
      </c>
    </row>
    <row s="50801" customFormat="1" customHeight="1" ht="11.25" hidden="1">
      <c r="A77" s="2904" t="s">
        <v>1044</v>
      </c>
      <c r="B77" s="1023"/>
      <c r="D77" s="1177">
        <v>1</v>
      </c>
      <c r="E77" s="1178" t="s">
        <v>1045</v>
      </c>
      <c r="F77" s="1233" t="s">
        <v>947</v>
      </c>
      <c r="G77" s="1236"/>
      <c r="H77" s="1535"/>
      <c r="I77" s="1236"/>
      <c r="J77" s="1535"/>
      <c r="K77" s="801" t="s">
        <v>1046</v>
      </c>
      <c r="X77" s="1270">
        <v>0</v>
      </c>
    </row>
    <row s="50801" customFormat="1" customHeight="1" ht="11.25" hidden="1">
      <c r="A78" s="2904"/>
      <c r="B78" s="1023"/>
      <c r="D78" s="1177" t="s">
        <v>105</v>
      </c>
      <c r="E78" s="1178" t="s">
        <v>1047</v>
      </c>
      <c r="F78" s="1233" t="s">
        <v>947</v>
      </c>
      <c r="G78" s="1236"/>
      <c r="H78" s="1535"/>
      <c r="I78" s="1236"/>
      <c r="J78" s="1535"/>
      <c r="K78" s="801" t="s">
        <v>1048</v>
      </c>
      <c r="X78" s="1270">
        <v>0</v>
      </c>
    </row>
    <row s="50801" customFormat="1" customHeight="1" ht="22.5" hidden="1">
      <c r="A79" s="2904"/>
      <c r="B79" s="1023"/>
      <c r="D79" s="1177" t="s">
        <v>92</v>
      </c>
      <c r="E79" s="1234" t="s">
        <v>1049</v>
      </c>
      <c r="F79" s="1172" t="s">
        <v>996</v>
      </c>
      <c r="G79" s="1236"/>
      <c r="H79" s="1535"/>
      <c r="I79" s="1236"/>
      <c r="J79" s="1535"/>
      <c r="K79" s="801" t="s">
        <v>1050</v>
      </c>
      <c r="X79" s="1270">
        <v>0</v>
      </c>
    </row>
    <row s="50801" customFormat="1" customHeight="1" ht="11.25" hidden="1">
      <c r="A80" s="2904"/>
      <c r="B80" s="1023"/>
      <c r="D80" s="1177" t="s">
        <v>463</v>
      </c>
      <c r="E80" s="1235" t="s">
        <v>1051</v>
      </c>
      <c r="F80" s="1172" t="s">
        <v>996</v>
      </c>
      <c r="G80" s="1236"/>
      <c r="H80" s="1535"/>
      <c r="I80" s="1236"/>
      <c r="J80" s="1535"/>
      <c r="K80" s="801"/>
      <c r="X80" s="1270">
        <v>0</v>
      </c>
    </row>
    <row s="50801" customFormat="1" customHeight="1" ht="11.25" hidden="1">
      <c r="A81" s="2904"/>
      <c r="B81" s="1023"/>
      <c r="D81" s="1177" t="s">
        <v>471</v>
      </c>
      <c r="E81" s="1235" t="s">
        <v>1052</v>
      </c>
      <c r="F81" s="1172" t="s">
        <v>996</v>
      </c>
      <c r="G81" s="1236"/>
      <c r="H81" s="1535"/>
      <c r="I81" s="1236"/>
      <c r="J81" s="1535"/>
      <c r="K81" s="801"/>
      <c r="X81" s="1270">
        <v>0</v>
      </c>
    </row>
    <row s="50801" customFormat="1" customHeight="1" ht="11.25" hidden="1">
      <c r="A82" s="2904"/>
      <c r="B82" s="1023"/>
      <c r="D82" s="1177" t="s">
        <v>473</v>
      </c>
      <c r="E82" s="1235" t="s">
        <v>1053</v>
      </c>
      <c r="F82" s="1172" t="s">
        <v>996</v>
      </c>
      <c r="G82" s="1236"/>
      <c r="H82" s="1535"/>
      <c r="I82" s="1236"/>
      <c r="J82" s="1535"/>
      <c r="K82" s="801"/>
      <c r="X82" s="1270">
        <v>0</v>
      </c>
    </row>
    <row s="50801" customFormat="1" customHeight="1" ht="11.25" hidden="1">
      <c r="A83" s="2904"/>
      <c r="B83" s="1023"/>
      <c r="D83" s="1177" t="s">
        <v>475</v>
      </c>
      <c r="E83" s="1235" t="s">
        <v>1054</v>
      </c>
      <c r="F83" s="1172" t="s">
        <v>996</v>
      </c>
      <c r="G83" s="1236"/>
      <c r="H83" s="1535"/>
      <c r="I83" s="1236"/>
      <c r="J83" s="1535"/>
      <c r="K83" s="801"/>
      <c r="X83" s="1270">
        <v>0</v>
      </c>
    </row>
    <row s="50801" customFormat="1" customHeight="1" ht="11.25" hidden="1">
      <c r="A84" s="2904"/>
      <c r="B84" s="1023"/>
      <c r="D84" s="1177" t="s">
        <v>1055</v>
      </c>
      <c r="E84" s="1235" t="s">
        <v>1056</v>
      </c>
      <c r="F84" s="1172" t="s">
        <v>996</v>
      </c>
      <c r="G84" s="1236"/>
      <c r="H84" s="1535"/>
      <c r="I84" s="1236"/>
      <c r="J84" s="1535"/>
      <c r="K84" s="801"/>
      <c r="X84" s="1270">
        <v>0</v>
      </c>
    </row>
    <row s="50801" customFormat="1" customHeight="1" ht="11.25" hidden="1">
      <c r="A85" s="2904"/>
      <c r="B85" s="1023"/>
      <c r="D85" s="1177" t="s">
        <v>1057</v>
      </c>
      <c r="E85" s="1235" t="s">
        <v>1058</v>
      </c>
      <c r="F85" s="1172" t="s">
        <v>996</v>
      </c>
      <c r="G85" s="1236"/>
      <c r="H85" s="1535"/>
      <c r="I85" s="1236"/>
      <c r="J85" s="1535"/>
      <c r="K85" s="801"/>
      <c r="X85" s="1270">
        <v>0</v>
      </c>
    </row>
    <row s="50801" customFormat="1" customHeight="1" ht="11.25" hidden="1">
      <c r="A86" s="2904"/>
      <c r="B86" s="1023"/>
      <c r="D86" s="1177" t="s">
        <v>1059</v>
      </c>
      <c r="E86" s="1235" t="s">
        <v>1060</v>
      </c>
      <c r="F86" s="1172" t="s">
        <v>996</v>
      </c>
      <c r="G86" s="1236"/>
      <c r="H86" s="1535"/>
      <c r="I86" s="1236"/>
      <c r="J86" s="1535"/>
      <c r="K86" s="801"/>
      <c r="X86" s="1270">
        <v>0</v>
      </c>
    </row>
    <row s="50801" customFormat="1" customHeight="1" ht="45" hidden="1">
      <c r="A87" s="2904"/>
      <c r="B87" s="1023"/>
      <c r="D87" s="1177" t="s">
        <v>93</v>
      </c>
      <c r="E87" s="1178" t="s">
        <v>1061</v>
      </c>
      <c r="F87" s="1172" t="s">
        <v>996</v>
      </c>
      <c r="G87" s="1236"/>
      <c r="H87" s="1535"/>
      <c r="I87" s="1236"/>
      <c r="J87" s="1535"/>
      <c r="K87" s="801" t="s">
        <v>1062</v>
      </c>
      <c r="X87" s="1270">
        <v>0</v>
      </c>
    </row>
    <row s="50801" customFormat="1" customHeight="1" ht="11.25" hidden="1">
      <c r="A88" s="2904"/>
      <c r="B88" s="1023"/>
      <c r="D88" s="1177" t="s">
        <v>891</v>
      </c>
      <c r="E88" s="1235" t="s">
        <v>1051</v>
      </c>
      <c r="F88" s="1172" t="s">
        <v>996</v>
      </c>
      <c r="G88" s="1236"/>
      <c r="H88" s="1535"/>
      <c r="I88" s="1236"/>
      <c r="J88" s="1535"/>
      <c r="K88" s="801"/>
      <c r="X88" s="1270">
        <v>0</v>
      </c>
    </row>
    <row s="50801" customFormat="1" customHeight="1" ht="11.25" hidden="1">
      <c r="A89" s="2904"/>
      <c r="B89" s="1023"/>
      <c r="D89" s="1177" t="s">
        <v>933</v>
      </c>
      <c r="E89" s="1235" t="s">
        <v>1052</v>
      </c>
      <c r="F89" s="1172" t="s">
        <v>996</v>
      </c>
      <c r="G89" s="1236"/>
      <c r="H89" s="1535"/>
      <c r="I89" s="1236"/>
      <c r="J89" s="1535"/>
      <c r="K89" s="801"/>
      <c r="X89" s="1270">
        <v>0</v>
      </c>
    </row>
    <row s="50801" customFormat="1" customHeight="1" ht="11.25" hidden="1">
      <c r="A90" s="2904"/>
      <c r="B90" s="1023"/>
      <c r="D90" s="1177" t="s">
        <v>936</v>
      </c>
      <c r="E90" s="1235" t="s">
        <v>1053</v>
      </c>
      <c r="F90" s="1172" t="s">
        <v>996</v>
      </c>
      <c r="G90" s="1236"/>
      <c r="H90" s="1535"/>
      <c r="I90" s="1236"/>
      <c r="J90" s="1535"/>
      <c r="K90" s="801"/>
      <c r="X90" s="1270">
        <v>0</v>
      </c>
    </row>
    <row s="50801" customFormat="1" customHeight="1" ht="11.25" hidden="1">
      <c r="A91" s="2904"/>
      <c r="B91" s="1023"/>
      <c r="D91" s="1177" t="s">
        <v>1014</v>
      </c>
      <c r="E91" s="1235" t="s">
        <v>1054</v>
      </c>
      <c r="F91" s="1172" t="s">
        <v>996</v>
      </c>
      <c r="G91" s="1236"/>
      <c r="H91" s="1535"/>
      <c r="I91" s="1236"/>
      <c r="J91" s="1535"/>
      <c r="K91" s="801"/>
      <c r="X91" s="1270">
        <v>0</v>
      </c>
    </row>
    <row s="50801" customFormat="1" customHeight="1" ht="11.25" hidden="1">
      <c r="A92" s="2904"/>
      <c r="B92" s="1023"/>
      <c r="D92" s="1177" t="s">
        <v>1016</v>
      </c>
      <c r="E92" s="1235" t="s">
        <v>1056</v>
      </c>
      <c r="F92" s="1172" t="s">
        <v>996</v>
      </c>
      <c r="G92" s="1236"/>
      <c r="H92" s="1535"/>
      <c r="I92" s="1236"/>
      <c r="J92" s="1535"/>
      <c r="K92" s="801"/>
      <c r="X92" s="1270">
        <v>0</v>
      </c>
    </row>
    <row s="50801" customFormat="1" customHeight="1" ht="11.25" hidden="1">
      <c r="A93" s="2904"/>
      <c r="B93" s="1023"/>
      <c r="D93" s="1177" t="s">
        <v>1063</v>
      </c>
      <c r="E93" s="1235" t="s">
        <v>1058</v>
      </c>
      <c r="F93" s="1172" t="s">
        <v>996</v>
      </c>
      <c r="G93" s="1236"/>
      <c r="H93" s="1535"/>
      <c r="I93" s="1236"/>
      <c r="J93" s="1535"/>
      <c r="K93" s="801"/>
      <c r="X93" s="1270">
        <v>0</v>
      </c>
    </row>
    <row s="50801" customFormat="1" customHeight="1" ht="11.25" hidden="1">
      <c r="A94" s="2904"/>
      <c r="B94" s="1023"/>
      <c r="D94" s="1177" t="s">
        <v>1064</v>
      </c>
      <c r="E94" s="1235" t="s">
        <v>1060</v>
      </c>
      <c r="F94" s="1172" t="s">
        <v>996</v>
      </c>
      <c r="G94" s="1236"/>
      <c r="H94" s="1535"/>
      <c r="I94" s="1236"/>
      <c r="J94" s="1535"/>
      <c r="K94" s="801"/>
      <c r="X94" s="1270">
        <v>0</v>
      </c>
    </row>
    <row s="50801" customFormat="1" customHeight="1" ht="24.75" hidden="1">
      <c r="A95" s="2904"/>
      <c r="B95" s="1023"/>
      <c r="D95" s="1177" t="s">
        <v>121</v>
      </c>
      <c r="E95" s="1178" t="s">
        <v>1065</v>
      </c>
      <c r="F95" s="1237" t="s">
        <v>696</v>
      </c>
      <c r="G95" s="1239"/>
      <c r="H95" s="1535"/>
      <c r="I95" s="1239"/>
      <c r="J95" s="1535"/>
      <c r="K95" s="801" t="s">
        <v>1066</v>
      </c>
      <c r="X95" s="1270">
        <v>0</v>
      </c>
    </row>
    <row s="50801" customFormat="1" customHeight="1" ht="33.75" hidden="1">
      <c r="A96" s="2904"/>
      <c r="B96" s="1023"/>
      <c r="D96" s="1177" t="s">
        <v>94</v>
      </c>
      <c r="E96" s="1178" t="s">
        <v>1067</v>
      </c>
      <c r="F96" s="1238" t="s">
        <v>957</v>
      </c>
      <c r="G96" s="1240"/>
      <c r="H96" s="1535"/>
      <c r="I96" s="1240"/>
      <c r="J96" s="1535"/>
      <c r="K96" s="801"/>
      <c r="X96" s="1270">
        <v>0</v>
      </c>
    </row>
    <row s="50801" customFormat="1" customHeight="1" ht="22.5" hidden="1">
      <c r="A97" s="2904"/>
      <c r="B97" s="1023" t="s">
        <v>726</v>
      </c>
      <c r="D97" s="1177" t="s">
        <v>95</v>
      </c>
      <c r="E97" s="1178" t="s">
        <v>1068</v>
      </c>
      <c r="F97" s="1238" t="s">
        <v>445</v>
      </c>
      <c r="G97" s="897"/>
      <c r="H97" s="1535"/>
      <c r="I97" s="897"/>
      <c r="J97" s="1535"/>
      <c r="K97" s="801" t="s">
        <v>769</v>
      </c>
      <c r="X97" s="1270">
        <v>0</v>
      </c>
    </row>
    <row s="50801" customFormat="1" customHeight="1" ht="45" hidden="1">
      <c r="A98" s="2904"/>
      <c r="B98" s="1023" t="s">
        <v>726</v>
      </c>
      <c r="D98" s="1177" t="s">
        <v>1069</v>
      </c>
      <c r="E98" s="1179" t="s">
        <v>1070</v>
      </c>
      <c r="F98" s="1233" t="s">
        <v>445</v>
      </c>
      <c r="G98" s="897"/>
      <c r="H98" s="1535"/>
      <c r="I98" s="897"/>
      <c r="J98" s="1535"/>
      <c r="K98" s="801" t="s">
        <v>769</v>
      </c>
      <c r="X98" s="1270">
        <v>0</v>
      </c>
    </row>
    <row s="50801" customFormat="1" customHeight="1" ht="95.25" hidden="1">
      <c r="A99" s="2904"/>
      <c r="B99" s="1023" t="s">
        <v>726</v>
      </c>
      <c r="D99" s="1177" t="s">
        <v>135</v>
      </c>
      <c r="E99" s="1178" t="s">
        <v>1071</v>
      </c>
      <c r="F99" s="1233" t="s">
        <v>445</v>
      </c>
      <c r="G99" s="897"/>
      <c r="H99" s="1535"/>
      <c r="I99" s="897"/>
      <c r="J99" s="1535"/>
      <c r="K99" s="801" t="s">
        <v>769</v>
      </c>
      <c r="X99" s="1270">
        <v>0</v>
      </c>
    </row>
    <row s="50801" customFormat="1" customHeight="1" ht="22.5" hidden="1">
      <c r="A100" s="2904"/>
      <c r="B100" s="1023" t="s">
        <v>726</v>
      </c>
      <c r="D100" s="1177" t="s">
        <v>140</v>
      </c>
      <c r="E100" s="1178" t="s">
        <v>1072</v>
      </c>
      <c r="F100" s="1233" t="s">
        <v>445</v>
      </c>
      <c r="G100" s="897"/>
      <c r="H100" s="1535"/>
      <c r="I100" s="897"/>
      <c r="J100" s="1535"/>
      <c r="K100" s="801" t="s">
        <v>769</v>
      </c>
      <c r="X100" s="1270">
        <v>0</v>
      </c>
    </row>
    <row s="50801" customFormat="1" customHeight="1" ht="11.549999999999999">
      <c r="A101" s="1545"/>
      <c r="B101" s="1030"/>
      <c r="D101" s="1546"/>
      <c r="E101" s="1547"/>
      <c r="X101" s="1021">
        <v>11</v>
      </c>
    </row>
    <row customHeight="1" ht="22.5" hidden="1">
      <c r="A102" s="1048" t="s">
        <v>84</v>
      </c>
      <c r="B102" s="1023">
        <v>0</v>
      </c>
      <c r="C102" s="1017">
        <v>3</v>
      </c>
      <c r="D102" s="1017">
        <v>7</v>
      </c>
      <c r="E102" s="1017">
        <v>69</v>
      </c>
      <c r="F102" s="1017">
        <v>10</v>
      </c>
      <c r="G102" s="1017">
        <v>0</v>
      </c>
      <c r="H102" s="1017">
        <v>0</v>
      </c>
      <c r="I102" s="1270">
        <v>43</v>
      </c>
      <c r="J102" s="1270">
        <v>43</v>
      </c>
      <c r="K102" s="1017">
        <v>73</v>
      </c>
      <c r="L102" s="1017">
        <v>3</v>
      </c>
      <c r="M102" s="1017">
        <v>10</v>
      </c>
      <c r="N102" s="1017">
        <v>10</v>
      </c>
      <c r="O102" s="1017">
        <v>10</v>
      </c>
      <c r="P102" s="1017">
        <v>10</v>
      </c>
      <c r="Q102" s="1017">
        <v>10</v>
      </c>
      <c r="R102" s="1017">
        <v>10</v>
      </c>
      <c r="S102" s="1017">
        <v>10</v>
      </c>
      <c r="T102" s="1017">
        <v>10</v>
      </c>
      <c r="U102" s="1017">
        <v>10</v>
      </c>
      <c r="V102" s="1017">
        <v>10</v>
      </c>
      <c r="W102" s="1017">
        <v>10</v>
      </c>
      <c r="X102" s="1017">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AF7233-A21A-E598-17D2-124024BA25CE}" mc:Ignorable="x14ac xr xr2 xr3">
  <sheetPr>
    <tabColor rgb="FFCCCCFF"/>
  </sheetPr>
  <dimension ref="A1:AM17"/>
  <sheetViews>
    <sheetView topLeftCell="A1" showGridLines="0" zoomScale="90" workbookViewId="0">
      <selection activeCell="A1" sqref="A1"/>
    </sheetView>
  </sheetViews>
  <sheetFormatPr defaultColWidth="9.140625" customHeight="1" defaultRowHeight="11.25"/>
  <cols>
    <col min="1" max="1" style="51018" width="6.421875" hidden="1" customWidth="1"/>
    <col min="2" max="2" style="51018" width="2.00390625" hidden="1" customWidth="1"/>
    <col min="3" max="3" style="51018" width="3.00390625" customWidth="1"/>
    <col min="4" max="4" style="51018" width="4.00390625" customWidth="1"/>
    <col min="5" max="5" style="51018" width="44.00390625" customWidth="1"/>
    <col min="6" max="6" style="51018" width="6.421875" customWidth="1"/>
    <col min="7" max="7" style="51018" width="4.00390625" customWidth="1"/>
    <col min="8" max="8" style="51018" width="5.00390625" customWidth="1"/>
    <col min="9" max="9" style="51018" width="52.00390625" customWidth="1"/>
    <col min="10" max="10" style="51018" width="7.00390625" customWidth="1"/>
    <col min="11" max="11" style="51018" width="3.00390625" customWidth="1"/>
    <col min="12" max="12" style="51018" width="6.00390625" customWidth="1"/>
    <col min="13" max="13" style="51018" width="56.00390625" customWidth="1"/>
    <col min="14" max="14" style="51069" width="8.00390625" customWidth="1"/>
    <col min="15" max="20" style="50981" width="9.140625" hidden="1"/>
    <col min="21" max="24" style="51070" width="9.140625" hidden="1"/>
    <col min="25" max="37" style="51069" width="9.140625" hidden="1"/>
    <col min="38" max="38" style="51069" width="8.00390625" customWidth="1"/>
    <col min="39" max="39" style="51018" width="9.140625" hidden="1"/>
  </cols>
  <sheetData>
    <row customHeight="1" ht="11.25" hidden="1">
      <c r="AM1" s="1095" t="s">
        <v>14</v>
      </c>
    </row>
    <row customHeight="1" ht="11.25" hidden="1">
      <c r="AM2" s="1095">
        <v>0</v>
      </c>
    </row>
    <row customHeight="1" ht="11.549999999999999">
      <c r="AM3" s="1095">
        <v>11</v>
      </c>
    </row>
    <row customHeight="1" ht="35.699999999999996">
      <c r="A4" s="1097"/>
      <c r="B4" s="1097"/>
      <c r="D4" s="2631" t="str">
        <f>Титульный!E5</f>
        <v>Показатели, подлежащие раскрытию в сфере холодного водоснабжения (цены и тарифы)</v>
      </c>
      <c r="E4" s="2632"/>
      <c r="F4" s="2632"/>
      <c r="G4" s="2632"/>
      <c r="H4" s="2632"/>
      <c r="I4" s="2633"/>
      <c r="J4" s="1096"/>
      <c r="K4" s="1096"/>
      <c r="L4" s="1096"/>
      <c r="M4" s="1096"/>
      <c r="AM4" s="1095">
        <v>34</v>
      </c>
    </row>
    <row s="50989" customFormat="1" customHeight="1" ht="14.699999999999998">
      <c r="A5" s="1097"/>
      <c r="B5" s="1097"/>
      <c r="C5" s="1097"/>
      <c r="D5" s="2634" t="str">
        <f>IF(org=0,"Не определено",org)</f>
        <v>КГУП "Примтеплоэнерго"</v>
      </c>
      <c r="E5" s="2635"/>
      <c r="F5" s="2635"/>
      <c r="G5" s="2635"/>
      <c r="H5" s="2635"/>
      <c r="I5" s="2636"/>
      <c r="J5" s="1098"/>
      <c r="K5" s="1098"/>
      <c r="L5" s="1098"/>
      <c r="M5" s="1098"/>
      <c r="N5" s="1098"/>
      <c r="O5" s="1382"/>
      <c r="P5" s="1382"/>
      <c r="Q5" s="1382"/>
      <c r="R5" s="1382"/>
      <c r="S5" s="1382"/>
      <c r="T5" s="1382"/>
      <c r="U5" s="1773"/>
      <c r="V5" s="1773"/>
      <c r="W5" s="1773"/>
      <c r="X5" s="1773"/>
      <c r="Y5" s="1098"/>
      <c r="Z5" s="1098"/>
      <c r="AA5" s="1098"/>
      <c r="AB5" s="1098"/>
      <c r="AC5" s="1098"/>
      <c r="AD5" s="1098"/>
      <c r="AE5" s="1098"/>
      <c r="AF5" s="1098"/>
      <c r="AG5" s="1098"/>
      <c r="AH5" s="1098"/>
      <c r="AI5" s="1098"/>
      <c r="AJ5" s="1098"/>
      <c r="AK5" s="1098"/>
      <c r="AL5" s="1098"/>
      <c r="AM5" s="1099">
        <v>14</v>
      </c>
    </row>
    <row s="50989" customFormat="1" customHeight="1" ht="6.3">
      <c r="A6" s="2637"/>
      <c r="B6" s="2637"/>
      <c r="C6" s="2637"/>
      <c r="D6" s="2637"/>
      <c r="E6" s="2637"/>
      <c r="F6" s="2637"/>
      <c r="G6" s="1100"/>
      <c r="H6" s="1100"/>
      <c r="I6" s="1100"/>
      <c r="J6" s="1100"/>
      <c r="K6" s="1100"/>
      <c r="N6" s="1102"/>
      <c r="O6" s="1926"/>
      <c r="P6" s="1926"/>
      <c r="Q6" s="1926"/>
      <c r="R6" s="1926"/>
      <c r="S6" s="1926"/>
      <c r="T6" s="1926"/>
      <c r="U6" s="1776"/>
      <c r="V6" s="1776"/>
      <c r="W6" s="1776"/>
      <c r="X6" s="1776"/>
      <c r="Y6" s="1102"/>
      <c r="Z6" s="1102"/>
      <c r="AA6" s="1102"/>
      <c r="AB6" s="1102"/>
      <c r="AC6" s="1102"/>
      <c r="AD6" s="1102"/>
      <c r="AE6" s="1102"/>
      <c r="AF6" s="1102"/>
      <c r="AG6" s="1102"/>
      <c r="AH6" s="1102"/>
      <c r="AI6" s="1102"/>
      <c r="AJ6" s="1102"/>
      <c r="AK6" s="1102"/>
      <c r="AL6" s="1102"/>
      <c r="AM6" s="1101">
        <v>6</v>
      </c>
    </row>
    <row customHeight="1" ht="45.75" hidden="1">
      <c r="E7" s="26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3"/>
      <c r="G7" s="2643"/>
      <c r="H7" s="2643"/>
      <c r="I7" s="2643"/>
      <c r="J7" s="2643"/>
      <c r="K7" s="2643"/>
      <c r="L7" s="2643"/>
      <c r="M7" s="2643"/>
      <c r="AM7" s="1095">
        <v>0</v>
      </c>
    </row>
    <row s="50989" customFormat="1" customHeight="1" ht="6.3">
      <c r="A8" s="1103"/>
      <c r="B8" s="1103"/>
      <c r="C8" s="1103"/>
      <c r="D8" s="1103"/>
      <c r="E8" s="1103"/>
      <c r="F8" s="1103"/>
      <c r="G8" s="1103"/>
      <c r="H8" s="1103"/>
      <c r="I8" s="1103"/>
      <c r="J8" s="1103"/>
      <c r="K8" s="1103"/>
      <c r="L8" s="1103"/>
      <c r="M8" s="1101"/>
      <c r="N8" s="1098"/>
      <c r="O8" s="1382"/>
      <c r="P8" s="1382"/>
      <c r="Q8" s="1382"/>
      <c r="R8" s="1382"/>
      <c r="S8" s="1382"/>
      <c r="T8" s="1382"/>
      <c r="U8" s="1773"/>
      <c r="V8" s="1773"/>
      <c r="W8" s="1773"/>
      <c r="X8" s="1773"/>
      <c r="Y8" s="1098"/>
      <c r="Z8" s="1098"/>
      <c r="AA8" s="1098"/>
      <c r="AB8" s="1098"/>
      <c r="AC8" s="1098"/>
      <c r="AD8" s="1098"/>
      <c r="AE8" s="1098"/>
      <c r="AF8" s="1098"/>
      <c r="AG8" s="1098"/>
      <c r="AH8" s="1098"/>
      <c r="AI8" s="1098"/>
      <c r="AJ8" s="1098"/>
      <c r="AK8" s="1098"/>
      <c r="AL8" s="1098"/>
      <c r="AM8" s="1099">
        <v>6</v>
      </c>
    </row>
    <row customHeight="1" ht="18.75">
      <c r="A9" s="2638"/>
      <c r="B9" s="835"/>
      <c r="C9" s="835"/>
      <c r="D9" s="2639" t="s">
        <v>175</v>
      </c>
      <c r="E9" s="2639"/>
      <c r="F9" s="2640" t="s">
        <v>176</v>
      </c>
      <c r="G9" s="2641"/>
      <c r="H9" s="2641"/>
      <c r="I9" s="2641"/>
      <c r="J9" s="2644" t="s">
        <v>177</v>
      </c>
      <c r="K9" s="2644"/>
      <c r="L9" s="2644"/>
      <c r="M9" s="2644"/>
      <c r="AM9" s="1095">
        <v>18</v>
      </c>
    </row>
    <row customHeight="1" ht="24">
      <c r="A10" s="2638"/>
      <c r="B10" s="1104"/>
      <c r="C10" s="1037"/>
      <c r="D10" s="1035" t="s">
        <v>90</v>
      </c>
      <c r="E10" s="1035" t="s">
        <v>91</v>
      </c>
      <c r="F10" s="1035" t="s">
        <v>178</v>
      </c>
      <c r="G10" s="2645" t="s">
        <v>90</v>
      </c>
      <c r="H10" s="2646"/>
      <c r="I10" s="1035" t="s">
        <v>91</v>
      </c>
      <c r="J10" s="1035" t="s">
        <v>178</v>
      </c>
      <c r="K10" s="2645" t="s">
        <v>90</v>
      </c>
      <c r="L10" s="2646"/>
      <c r="M10" s="1035" t="s">
        <v>91</v>
      </c>
      <c r="N10" s="2139"/>
      <c r="AM10" s="1095">
        <v>23</v>
      </c>
    </row>
    <row s="51018" customFormat="1" customHeight="1" ht="11.25" hidden="1">
      <c r="A11" s="1105"/>
      <c r="B11" s="1105"/>
      <c r="C11" s="1105"/>
      <c r="D11" s="1106" t="s">
        <v>101</v>
      </c>
      <c r="E11" s="1106" t="s">
        <v>105</v>
      </c>
      <c r="F11" s="1106" t="s">
        <v>92</v>
      </c>
      <c r="G11" s="2627" t="s">
        <v>93</v>
      </c>
      <c r="H11" s="2628"/>
      <c r="I11" s="1106" t="s">
        <v>121</v>
      </c>
      <c r="J11" s="1106" t="s">
        <v>94</v>
      </c>
      <c r="K11" s="2629" t="s">
        <v>95</v>
      </c>
      <c r="L11" s="2630"/>
      <c r="M11" s="1106" t="s">
        <v>135</v>
      </c>
      <c r="N11" s="2138"/>
      <c r="O11" s="1925"/>
      <c r="P11" s="1927"/>
      <c r="Q11" s="1927"/>
      <c r="R11" s="1927"/>
      <c r="S11" s="1927"/>
      <c r="T11" s="1927"/>
      <c r="U11" s="1777"/>
      <c r="V11" s="1777"/>
      <c r="W11" s="1777"/>
      <c r="X11" s="1777"/>
      <c r="Y11" s="1107"/>
      <c r="Z11" s="1107"/>
      <c r="AA11" s="1107"/>
      <c r="AB11" s="1107"/>
      <c r="AC11" s="1107"/>
      <c r="AD11" s="1107"/>
      <c r="AE11" s="1107"/>
      <c r="AF11" s="1107"/>
      <c r="AG11" s="1107"/>
      <c r="AH11" s="1107"/>
      <c r="AI11" s="1107"/>
      <c r="AJ11" s="1107"/>
      <c r="AK11" s="1107"/>
      <c r="AL11" s="1107"/>
      <c r="AM11" s="1108">
        <v>0</v>
      </c>
    </row>
    <row customHeight="1" ht="1.05">
      <c r="A12" s="1109"/>
      <c r="B12" s="1110"/>
      <c r="C12" s="1110"/>
      <c r="D12" s="1111"/>
      <c r="E12" s="879"/>
      <c r="F12" s="1112"/>
      <c r="G12" s="1571"/>
      <c r="H12" s="1571"/>
      <c r="I12" s="1112"/>
      <c r="J12" s="1112"/>
      <c r="K12" s="686"/>
      <c r="L12" s="879"/>
      <c r="M12" s="1113"/>
      <c r="N12" s="2139"/>
      <c r="O12" s="1925" t="s">
        <v>179</v>
      </c>
      <c r="P12" s="1925" t="s">
        <v>180</v>
      </c>
      <c r="Q12" s="1925" t="s">
        <v>181</v>
      </c>
      <c r="R12" s="1925" t="s">
        <v>182</v>
      </c>
      <c r="AM12" s="1095">
        <v>1</v>
      </c>
    </row>
    <row s="51018" customFormat="1" customHeight="1" ht="15.75">
      <c r="A13" s="805"/>
      <c r="B13" s="805"/>
      <c r="C13" s="1038"/>
      <c r="D13" s="2620" t="s">
        <v>101</v>
      </c>
      <c r="E13" s="2621"/>
      <c r="F13" s="2624" t="s">
        <v>63</v>
      </c>
      <c r="G13" s="2625"/>
      <c r="H13" s="2626">
        <v>1</v>
      </c>
      <c r="I13" s="2617" t="str">
        <f>IF(U13="","",INDEX(TERRITORY_MR_LIST,MATCH(U13,TERRITORY_LIST_ID,0)))</f>
        <v/>
      </c>
      <c r="J13" s="2619" t="s">
        <v>19</v>
      </c>
      <c r="K13" s="1114"/>
      <c r="L13" s="1039" t="s">
        <v>101</v>
      </c>
      <c r="M13" s="1115" t="s">
        <v>28</v>
      </c>
      <c r="N13" s="1324"/>
      <c r="O13" s="1928" t="s">
        <v>183</v>
      </c>
      <c r="P13" s="1925">
        <f>$E$13</f>
        <v>0</v>
      </c>
      <c r="Q13" s="1925" t="str">
        <f>IF($F$13="нет","без дифференциации",$I$13)</f>
        <v/>
      </c>
      <c r="R13" s="1925" t="str">
        <f>IF($J$13="нет","без дифференциации",M13)</f>
        <v>без дифференциации</v>
      </c>
      <c r="S13" s="1928"/>
      <c r="T13" s="1928"/>
      <c r="U13" s="1778"/>
      <c r="V13" s="1778"/>
      <c r="W13" s="1778"/>
      <c r="X13" s="1778"/>
      <c r="Y13" s="1116" t="s">
        <v>184</v>
      </c>
      <c r="Z13" s="1116">
        <v>1705000</v>
      </c>
      <c r="AA13" s="1116"/>
      <c r="AB13" s="1116"/>
      <c r="AC13" s="1116"/>
      <c r="AD13" s="1116"/>
      <c r="AE13" s="1116"/>
      <c r="AF13" s="1116"/>
      <c r="AG13" s="1116"/>
      <c r="AH13" s="1116"/>
      <c r="AI13" s="1116"/>
      <c r="AJ13" s="1116"/>
      <c r="AK13" s="1116"/>
      <c r="AL13" s="1116"/>
      <c r="AM13" s="1118">
        <v>15</v>
      </c>
    </row>
    <row s="51018" customFormat="1" customHeight="1" ht="15.75">
      <c r="A14" s="805"/>
      <c r="B14" s="805"/>
      <c r="C14" s="688"/>
      <c r="D14" s="2620"/>
      <c r="E14" s="2622"/>
      <c r="F14" s="2619"/>
      <c r="G14" s="2625"/>
      <c r="H14" s="2626"/>
      <c r="I14" s="2618"/>
      <c r="J14" s="2619"/>
      <c r="K14" s="933"/>
      <c r="L14" s="689"/>
      <c r="M14" s="1119" t="s">
        <v>185</v>
      </c>
      <c r="N14" s="1324"/>
      <c r="O14" s="1928"/>
      <c r="P14" s="1925"/>
      <c r="Q14" s="1925"/>
      <c r="R14" s="1925"/>
      <c r="S14" s="1928"/>
      <c r="T14" s="1928"/>
      <c r="U14" s="1778"/>
      <c r="V14" s="1778"/>
      <c r="W14" s="1778"/>
      <c r="X14" s="1778"/>
      <c r="Y14" s="1116"/>
      <c r="Z14" s="1116"/>
      <c r="AA14" s="1116"/>
      <c r="AB14" s="1116"/>
      <c r="AC14" s="1116"/>
      <c r="AD14" s="1116"/>
      <c r="AE14" s="1116"/>
      <c r="AF14" s="1116"/>
      <c r="AG14" s="1116"/>
      <c r="AH14" s="1116"/>
      <c r="AI14" s="1116"/>
      <c r="AJ14" s="1116"/>
      <c r="AK14" s="1116"/>
      <c r="AL14" s="1116"/>
      <c r="AM14" s="1118">
        <v>15</v>
      </c>
    </row>
    <row s="51018" customFormat="1" customHeight="1" ht="15.75">
      <c r="A15" s="805"/>
      <c r="B15" s="805"/>
      <c r="C15" s="688"/>
      <c r="D15" s="2620"/>
      <c r="E15" s="2623"/>
      <c r="F15" s="2619"/>
      <c r="G15" s="1572"/>
      <c r="H15" s="1573"/>
      <c r="I15" s="1092" t="s">
        <v>186</v>
      </c>
      <c r="J15" s="689"/>
      <c r="K15" s="689"/>
      <c r="L15" s="689"/>
      <c r="M15" s="1120"/>
      <c r="N15" s="1324"/>
      <c r="O15" s="1928"/>
      <c r="P15" s="1925"/>
      <c r="Q15" s="1925"/>
      <c r="R15" s="1925"/>
      <c r="S15" s="1928"/>
      <c r="T15" s="1928"/>
      <c r="U15" s="1778"/>
      <c r="V15" s="1778"/>
      <c r="W15" s="1778"/>
      <c r="X15" s="1778"/>
      <c r="Y15" s="1116"/>
      <c r="Z15" s="1116"/>
      <c r="AA15" s="1116"/>
      <c r="AB15" s="1116"/>
      <c r="AC15" s="1116"/>
      <c r="AD15" s="1116"/>
      <c r="AE15" s="1116"/>
      <c r="AF15" s="1116"/>
      <c r="AG15" s="1116"/>
      <c r="AH15" s="1116"/>
      <c r="AI15" s="1116"/>
      <c r="AJ15" s="1116"/>
      <c r="AK15" s="1116"/>
      <c r="AL15" s="1116"/>
      <c r="AM15" s="1118">
        <v>15</v>
      </c>
    </row>
    <row customHeight="1" ht="15.75">
      <c r="A16" s="1121"/>
      <c r="B16" s="647"/>
      <c r="C16" s="1318"/>
      <c r="D16" s="933"/>
      <c r="E16" s="1083" t="s">
        <v>187</v>
      </c>
      <c r="F16" s="689"/>
      <c r="G16" s="689"/>
      <c r="H16" s="689"/>
      <c r="I16" s="689"/>
      <c r="J16" s="689"/>
      <c r="K16" s="689" t="s">
        <v>28</v>
      </c>
      <c r="L16" s="689"/>
      <c r="M16" s="1120"/>
      <c r="N16" s="2139"/>
      <c r="AM16" s="1095">
        <v>15</v>
      </c>
    </row>
    <row customHeight="1" ht="11.25" hidden="1">
      <c r="A17" s="1095" t="s">
        <v>84</v>
      </c>
      <c r="B17" s="1095">
        <v>0</v>
      </c>
      <c r="C17" s="1095">
        <v>3</v>
      </c>
      <c r="D17" s="1095">
        <v>4</v>
      </c>
      <c r="E17" s="1095">
        <v>44</v>
      </c>
      <c r="F17" s="1095">
        <v>6</v>
      </c>
      <c r="G17" s="1095">
        <v>4</v>
      </c>
      <c r="H17" s="1095">
        <v>5</v>
      </c>
      <c r="I17" s="1095">
        <v>52</v>
      </c>
      <c r="J17" s="1095">
        <v>6</v>
      </c>
      <c r="K17" s="1095">
        <v>3</v>
      </c>
      <c r="L17" s="1095">
        <v>6</v>
      </c>
      <c r="M17" s="1095">
        <v>56</v>
      </c>
      <c r="N17" s="1096">
        <v>8</v>
      </c>
      <c r="O17" s="1925">
        <v>0</v>
      </c>
      <c r="P17" s="1925">
        <v>0</v>
      </c>
      <c r="Q17" s="1925">
        <v>0</v>
      </c>
      <c r="R17" s="1925">
        <v>0</v>
      </c>
      <c r="S17" s="1925">
        <v>0</v>
      </c>
      <c r="T17" s="1925">
        <v>0</v>
      </c>
      <c r="U17" s="1775">
        <v>0</v>
      </c>
      <c r="V17" s="1775">
        <v>0</v>
      </c>
      <c r="W17" s="1775">
        <v>0</v>
      </c>
      <c r="X17" s="1775">
        <v>0</v>
      </c>
      <c r="Y17" s="1096">
        <v>0</v>
      </c>
      <c r="Z17" s="1096">
        <v>0</v>
      </c>
      <c r="AA17" s="1096">
        <v>0</v>
      </c>
      <c r="AB17" s="1096">
        <v>0</v>
      </c>
      <c r="AC17" s="1096">
        <v>0</v>
      </c>
      <c r="AD17" s="1096">
        <v>0</v>
      </c>
      <c r="AE17" s="1096">
        <v>0</v>
      </c>
      <c r="AF17" s="1096">
        <v>0</v>
      </c>
      <c r="AG17" s="1096">
        <v>0</v>
      </c>
      <c r="AH17" s="1096">
        <v>0</v>
      </c>
      <c r="AI17" s="1096">
        <v>0</v>
      </c>
      <c r="AJ17" s="1096">
        <v>0</v>
      </c>
      <c r="AK17" s="1096">
        <v>0</v>
      </c>
      <c r="AL17" s="1096">
        <v>8</v>
      </c>
      <c r="AM17" s="1095">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BF27A8-DD41-F132-941D-D93E1E620CB2}" mc:Ignorable="x14ac xr xr2 xr3">
  <sheetPr>
    <tabColor rgb="FFE26B0A"/>
  </sheetPr>
  <dimension ref="A1:V40"/>
  <sheetViews>
    <sheetView topLeftCell="A1" showGridLines="0" zoomScale="90" workbookViewId="0">
      <selection activeCell="A1" sqref="A1"/>
    </sheetView>
  </sheetViews>
  <sheetFormatPr defaultColWidth="10.57421875" customHeight="1" defaultRowHeight="15"/>
  <cols>
    <col min="1" max="1" style="50765" width="9.140625" hidden="1" customWidth="1"/>
    <col min="2" max="2" style="50801" width="9.140625" hidden="1" customWidth="1"/>
    <col min="3" max="3" style="60600" width="4.00390625" customWidth="1"/>
    <col min="4" max="4" style="50801" width="6.00390625" customWidth="1"/>
    <col min="5" max="5" style="50801" width="36.00390625" customWidth="1"/>
    <col min="6" max="6" style="50801" width="9.00390625" customWidth="1"/>
    <col min="7" max="7" style="50801" width="25.7109375" hidden="1" customWidth="1"/>
    <col min="8" max="8" style="50801" width="33.7109375" hidden="1" customWidth="1"/>
    <col min="9" max="9" style="50801" width="25.7109375" customWidth="1"/>
    <col min="10" max="10" style="50801" width="33.00390625" customWidth="1"/>
    <col min="11" max="11" style="50881" width="93.00390625" customWidth="1"/>
    <col min="12" max="20" style="50801" width="10.00390625" customWidth="1"/>
    <col min="21" max="21" style="60601" width="10.00390625" customWidth="1"/>
    <col min="22" max="22" style="50801" width="10.57421875" hidden="1"/>
  </cols>
  <sheetData>
    <row s="50881" customFormat="1" customHeight="1" ht="22.5" hidden="1">
      <c r="C1" s="1184"/>
      <c r="G1" s="929">
        <v>4</v>
      </c>
      <c r="I1" s="929">
        <v>4</v>
      </c>
      <c r="U1" s="932"/>
      <c r="V1" s="929" t="s">
        <v>14</v>
      </c>
    </row>
    <row s="50881" customFormat="1" customHeight="1" ht="15" hidden="1">
      <c r="C2" s="1184"/>
      <c r="U2" s="932"/>
      <c r="V2" s="929">
        <v>0</v>
      </c>
    </row>
    <row customHeight="1" ht="22.5" hidden="1">
      <c r="A3" s="1017"/>
      <c r="B3" s="2909"/>
      <c r="C3" s="2910" t="s">
        <v>106</v>
      </c>
      <c r="D3" s="1201" t="str">
        <f>B3&amp;".1"</f>
        <v>.1</v>
      </c>
      <c r="E3" s="1202" t="s">
        <v>1073</v>
      </c>
      <c r="F3" s="1203" t="s">
        <v>445</v>
      </c>
      <c r="G3" s="1198"/>
      <c r="H3" s="913"/>
      <c r="I3" s="1198"/>
      <c r="J3" s="913"/>
      <c r="K3" s="801" t="s">
        <v>1074</v>
      </c>
      <c r="V3" s="1017">
        <v>0</v>
      </c>
    </row>
    <row customHeight="1" ht="15" hidden="1">
      <c r="A4" s="1017"/>
      <c r="B4" s="2909"/>
      <c r="C4" s="2910"/>
      <c r="D4" s="1201" t="str">
        <f>B3&amp;".2"</f>
        <v>.2</v>
      </c>
      <c r="E4" s="1202" t="s">
        <v>1075</v>
      </c>
      <c r="F4" s="1203" t="s">
        <v>445</v>
      </c>
      <c r="G4" s="2250" t="s">
        <v>28</v>
      </c>
      <c r="H4" s="913"/>
      <c r="I4" s="2250" t="s">
        <v>28</v>
      </c>
      <c r="J4" s="913"/>
      <c r="K4" s="801" t="s">
        <v>1076</v>
      </c>
      <c r="V4" s="1017">
        <v>0</v>
      </c>
    </row>
    <row s="50881" customFormat="1" customHeight="1" ht="15" hidden="1">
      <c r="C5" s="1184"/>
      <c r="U5" s="932"/>
      <c r="V5" s="929">
        <v>0</v>
      </c>
    </row>
    <row customHeight="1" ht="22.5" hidden="1">
      <c r="A6" s="1017"/>
      <c r="B6" s="2909"/>
      <c r="C6" s="2910" t="s">
        <v>106</v>
      </c>
      <c r="D6" s="1201" t="str">
        <f>B6&amp;".1"</f>
        <v>.1</v>
      </c>
      <c r="E6" s="1202" t="s">
        <v>1077</v>
      </c>
      <c r="F6" s="1203" t="s">
        <v>445</v>
      </c>
      <c r="G6" s="1198"/>
      <c r="H6" s="913"/>
      <c r="I6" s="1198"/>
      <c r="J6" s="913"/>
      <c r="K6" s="801" t="s">
        <v>1078</v>
      </c>
      <c r="V6" s="1017">
        <v>0</v>
      </c>
    </row>
    <row customHeight="1" ht="15" hidden="1">
      <c r="A7" s="1017"/>
      <c r="B7" s="2909"/>
      <c r="C7" s="2910"/>
      <c r="D7" s="1201" t="str">
        <f>B6&amp;".2"</f>
        <v>.2</v>
      </c>
      <c r="E7" s="1202" t="s">
        <v>1075</v>
      </c>
      <c r="F7" s="1203" t="s">
        <v>445</v>
      </c>
      <c r="G7" s="2250" t="s">
        <v>28</v>
      </c>
      <c r="H7" s="913"/>
      <c r="I7" s="2250" t="s">
        <v>28</v>
      </c>
      <c r="J7" s="913"/>
      <c r="K7" s="801" t="s">
        <v>1076</v>
      </c>
      <c r="V7" s="1017">
        <v>0</v>
      </c>
    </row>
    <row s="50881" customFormat="1" customHeight="1" ht="15" hidden="1">
      <c r="C8" s="1184"/>
      <c r="U8" s="932"/>
      <c r="V8" s="929">
        <v>0</v>
      </c>
    </row>
    <row customHeight="1" ht="22.5" hidden="1">
      <c r="A9" s="1017"/>
      <c r="B9" s="2909"/>
      <c r="C9" s="2910" t="s">
        <v>106</v>
      </c>
      <c r="D9" s="1201" t="str">
        <f>B9&amp;".1"</f>
        <v>.1</v>
      </c>
      <c r="E9" s="1202" t="s">
        <v>1079</v>
      </c>
      <c r="F9" s="1203" t="s">
        <v>445</v>
      </c>
      <c r="G9" s="1209" t="s">
        <v>28</v>
      </c>
      <c r="H9" s="913" t="s">
        <v>28</v>
      </c>
      <c r="I9" s="1209" t="s">
        <v>28</v>
      </c>
      <c r="J9" s="913" t="s">
        <v>28</v>
      </c>
      <c r="K9" s="801"/>
      <c r="V9" s="1017">
        <v>0</v>
      </c>
    </row>
    <row customHeight="1" ht="15" hidden="1">
      <c r="A10" s="1017"/>
      <c r="B10" s="2909"/>
      <c r="C10" s="2910"/>
      <c r="D10" s="1201" t="str">
        <f>B9&amp;".2"</f>
        <v>.2</v>
      </c>
      <c r="E10" s="1202" t="s">
        <v>1080</v>
      </c>
      <c r="F10" s="1203" t="s">
        <v>445</v>
      </c>
      <c r="G10" s="2244" t="s">
        <v>28</v>
      </c>
      <c r="H10" s="913" t="s">
        <v>28</v>
      </c>
      <c r="I10" s="2244" t="s">
        <v>28</v>
      </c>
      <c r="J10" s="913" t="s">
        <v>28</v>
      </c>
      <c r="K10" s="801" t="s">
        <v>1081</v>
      </c>
      <c r="V10" s="1017">
        <v>0</v>
      </c>
    </row>
    <row customHeight="1" ht="15" hidden="1">
      <c r="A11" s="1017"/>
      <c r="B11" s="2909"/>
      <c r="C11" s="2910"/>
      <c r="D11" s="1201" t="str">
        <f>B9&amp;".3"</f>
        <v>.3</v>
      </c>
      <c r="E11" s="1202" t="s">
        <v>1082</v>
      </c>
      <c r="F11" s="1203" t="s">
        <v>445</v>
      </c>
      <c r="G11" s="2244" t="s">
        <v>28</v>
      </c>
      <c r="H11" s="913" t="s">
        <v>28</v>
      </c>
      <c r="I11" s="2244" t="s">
        <v>28</v>
      </c>
      <c r="J11" s="913" t="s">
        <v>28</v>
      </c>
      <c r="K11" s="801" t="s">
        <v>1083</v>
      </c>
      <c r="V11" s="1017">
        <v>0</v>
      </c>
    </row>
    <row s="50881" customFormat="1" customHeight="1" ht="15" hidden="1">
      <c r="C12" s="1184"/>
      <c r="U12" s="932"/>
      <c r="V12" s="929">
        <v>0</v>
      </c>
    </row>
    <row customHeight="1" ht="33.75" hidden="1">
      <c r="A13" s="1017"/>
      <c r="B13" s="2909"/>
      <c r="C13" s="2910" t="s">
        <v>106</v>
      </c>
      <c r="D13" s="1201" t="str">
        <f>B13&amp;".1"</f>
        <v>.1</v>
      </c>
      <c r="E13" s="1202" t="s">
        <v>1084</v>
      </c>
      <c r="F13" s="1203" t="s">
        <v>445</v>
      </c>
      <c r="G13" s="1209" t="s">
        <v>28</v>
      </c>
      <c r="H13" s="913" t="s">
        <v>28</v>
      </c>
      <c r="I13" s="1209" t="s">
        <v>28</v>
      </c>
      <c r="J13" s="913" t="s">
        <v>28</v>
      </c>
      <c r="K13" s="801" t="s">
        <v>1085</v>
      </c>
      <c r="V13" s="1017">
        <v>0</v>
      </c>
    </row>
    <row customHeight="1" ht="15" hidden="1">
      <c r="B14" s="2909"/>
      <c r="C14" s="2910"/>
      <c r="D14" s="1201" t="str">
        <f>B13&amp;".2"</f>
        <v>.2</v>
      </c>
      <c r="E14" s="1202" t="s">
        <v>1086</v>
      </c>
      <c r="F14" s="1203" t="s">
        <v>445</v>
      </c>
      <c r="G14" s="2244" t="s">
        <v>28</v>
      </c>
      <c r="H14" s="913" t="s">
        <v>28</v>
      </c>
      <c r="I14" s="2244" t="s">
        <v>28</v>
      </c>
      <c r="J14" s="913" t="s">
        <v>28</v>
      </c>
      <c r="K14" s="801" t="s">
        <v>1087</v>
      </c>
      <c r="V14" s="1017">
        <v>0</v>
      </c>
    </row>
    <row s="50881" customFormat="1" customHeight="1" ht="15" hidden="1">
      <c r="C15" s="1184"/>
      <c r="U15" s="932"/>
      <c r="V15" s="929">
        <v>0</v>
      </c>
    </row>
    <row s="50881" customFormat="1" customHeight="1" ht="15" hidden="1">
      <c r="C16" s="1184"/>
      <c r="U16" s="932"/>
      <c r="V16" s="929">
        <v>0</v>
      </c>
    </row>
    <row s="50881" customFormat="1" customHeight="1" ht="15" hidden="1">
      <c r="C17" s="1184"/>
      <c r="U17" s="932"/>
      <c r="V17" s="929">
        <v>0</v>
      </c>
    </row>
    <row s="50881" customFormat="1" customHeight="1" ht="15" hidden="1">
      <c r="C18" s="1184"/>
      <c r="U18" s="932"/>
      <c r="V18" s="929">
        <v>0</v>
      </c>
    </row>
    <row s="50881" customFormat="1" customHeight="1" ht="15" hidden="1">
      <c r="C19" s="1184"/>
      <c r="U19" s="932"/>
      <c r="V19" s="929">
        <v>0</v>
      </c>
    </row>
    <row s="50881" customFormat="1" customHeight="1" ht="15" hidden="1">
      <c r="C20" s="1184"/>
      <c r="U20" s="932"/>
      <c r="V20" s="929">
        <v>0</v>
      </c>
    </row>
    <row customHeight="1" ht="15.75">
      <c r="C21" s="688"/>
      <c r="D21" s="1021"/>
      <c r="E21" s="1021"/>
      <c r="F21" s="1021"/>
      <c r="G21" s="1021"/>
      <c r="H21" s="1021"/>
      <c r="I21" s="1021"/>
      <c r="J21" s="1021"/>
      <c r="V21" s="1017">
        <v>15</v>
      </c>
    </row>
    <row customHeight="1" ht="23.25">
      <c r="C22" s="688"/>
      <c r="D22" s="27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49"/>
      <c r="F22" s="2749"/>
      <c r="G22" s="2749"/>
      <c r="H22" s="2749"/>
      <c r="I22" s="2749"/>
      <c r="J22" s="1188"/>
      <c r="K22" s="1049"/>
      <c r="V22" s="1017">
        <v>22</v>
      </c>
    </row>
    <row customHeight="1" ht="15.75">
      <c r="C23" s="688"/>
      <c r="D23" s="2688" t="str">
        <f>IF(org=0,"Не определено",org)</f>
        <v>КГУП "Примтеплоэнерго"</v>
      </c>
      <c r="E23" s="2688"/>
      <c r="F23" s="2688"/>
      <c r="G23" s="2688"/>
      <c r="H23" s="2688"/>
      <c r="I23" s="2688"/>
      <c r="J23" s="1188"/>
      <c r="K23" s="1049"/>
      <c r="V23" s="1017">
        <v>15</v>
      </c>
    </row>
    <row customHeight="1" ht="15.75">
      <c r="C24" s="688"/>
      <c r="D24" s="1021"/>
      <c r="E24" s="1021"/>
      <c r="F24" s="1021"/>
      <c r="G24" s="1049">
        <v>22</v>
      </c>
      <c r="H24" s="1264"/>
      <c r="I24" s="1049">
        <v>22</v>
      </c>
      <c r="J24" s="1264"/>
      <c r="V24" s="1017">
        <v>15</v>
      </c>
    </row>
    <row s="50801" customFormat="1" customHeight="1" ht="1.05">
      <c r="A25" s="1271"/>
      <c r="C25" s="688"/>
      <c r="D25" s="1021"/>
      <c r="E25" s="1021"/>
      <c r="F25" s="1021"/>
      <c r="G25" s="1049"/>
      <c r="H25" s="1264"/>
      <c r="I25" s="1049" t="s">
        <v>183</v>
      </c>
      <c r="J25" s="1264"/>
      <c r="K25" s="929"/>
      <c r="U25" s="1187"/>
      <c r="V25" s="1270">
        <v>1</v>
      </c>
    </row>
    <row customHeight="1" ht="15.75">
      <c r="C26" s="688"/>
      <c r="D26" s="1223"/>
      <c r="E26" s="2879" t="s">
        <v>175</v>
      </c>
      <c r="F26" s="2880"/>
      <c r="G26" s="2907" t="str">
        <f>IF(G25="","",INDEX(DIFFERENTIATION_UNMERGE_VD,MATCH(G25,DIFFERENTIATION_ID_DIFF,0)))</f>
        <v/>
      </c>
      <c r="H26" s="2908"/>
      <c r="I26" s="2907">
        <f>IF(I25="","",INDEX(DIFFERENTIATION_UNMERGE_VD,MATCH(I25,DIFFERENTIATION_ID_DIFF,0)))</f>
        <v>0</v>
      </c>
      <c r="J26" s="2908"/>
      <c r="K26" s="2687" t="s">
        <v>440</v>
      </c>
      <c r="V26" s="1017">
        <v>15</v>
      </c>
    </row>
    <row s="50801" customFormat="1" customHeight="1" ht="15.75">
      <c r="A27" s="1271"/>
      <c r="C27" s="688"/>
      <c r="D27" s="1223"/>
      <c r="E27" s="2879" t="s">
        <v>702</v>
      </c>
      <c r="F27" s="2880"/>
      <c r="G27" s="2907" t="str">
        <f>IF(G25="","",INDEX(DIFFERENTIATION_UNMERGE_AREA,MATCH(G25,DIFFERENTIATION_ID_DIFF,0)))</f>
        <v/>
      </c>
      <c r="H27" s="2908"/>
      <c r="I27" s="2907" t="str">
        <f>IF(I25="","",INDEX(DIFFERENTIATION_UNMERGE_AREA,MATCH(I25,DIFFERENTIATION_ID_DIFF,0)))</f>
        <v/>
      </c>
      <c r="J27" s="2908"/>
      <c r="K27" s="2707"/>
      <c r="U27" s="1187"/>
      <c r="V27" s="1270">
        <v>15</v>
      </c>
    </row>
    <row s="50801" customFormat="1" customHeight="1" ht="15.75">
      <c r="A28" s="1271"/>
      <c r="C28" s="688"/>
      <c r="D28" s="1223"/>
      <c r="E28" s="2879" t="s">
        <v>703</v>
      </c>
      <c r="F28" s="2880"/>
      <c r="G28" s="2907" t="str">
        <f>IF(G25="","",INDEX(DIFFERENTIATION_UNMERGE_SYSTEM,MATCH(G25,DIFFERENTIATION_ID_DIFF,0)))</f>
        <v/>
      </c>
      <c r="H28" s="2908"/>
      <c r="I28" s="2907" t="str">
        <f>IF(I25="","",INDEX(DIFFERENTIATION_UNMERGE_SYSTEM,MATCH(I25,DIFFERENTIATION_ID_DIFF,0)))</f>
        <v>без дифференциации</v>
      </c>
      <c r="J28" s="2908"/>
      <c r="K28" s="2707"/>
      <c r="U28" s="1187"/>
      <c r="V28" s="1270">
        <v>15</v>
      </c>
    </row>
    <row s="50801" customFormat="1" customHeight="1" ht="15.75">
      <c r="A29" s="1271"/>
      <c r="C29" s="688"/>
      <c r="D29" s="2881" t="s">
        <v>439</v>
      </c>
      <c r="E29" s="2882"/>
      <c r="F29" s="2882"/>
      <c r="G29" s="1399"/>
      <c r="H29" s="1399"/>
      <c r="I29" s="1399"/>
      <c r="J29" s="1400"/>
      <c r="K29" s="2707"/>
      <c r="U29" s="1187"/>
      <c r="V29" s="1270">
        <v>15</v>
      </c>
    </row>
    <row customHeight="1" ht="35.699999999999996">
      <c r="C30" s="688"/>
      <c r="D30" s="1273" t="s">
        <v>90</v>
      </c>
      <c r="E30" s="1272" t="s">
        <v>441</v>
      </c>
      <c r="F30" s="1272" t="s">
        <v>704</v>
      </c>
      <c r="G30" s="1320" t="s">
        <v>442</v>
      </c>
      <c r="H30" s="1319" t="s">
        <v>529</v>
      </c>
      <c r="I30" s="1196" t="s">
        <v>442</v>
      </c>
      <c r="J30" s="977" t="s">
        <v>529</v>
      </c>
      <c r="K30" s="2713"/>
      <c r="V30" s="1017">
        <v>34</v>
      </c>
    </row>
    <row customHeight="1" ht="15" hidden="1">
      <c r="C31" s="688"/>
      <c r="D31" s="1105"/>
      <c r="E31" s="1105"/>
      <c r="F31" s="1105"/>
      <c r="G31" s="1171"/>
      <c r="H31" s="1171"/>
      <c r="I31" s="1171"/>
      <c r="J31" s="1171"/>
      <c r="K31" s="801"/>
      <c r="V31" s="1017">
        <v>0</v>
      </c>
    </row>
    <row customHeight="1" ht="24">
      <c r="A32" s="1017"/>
      <c r="B32" s="1017" t="s">
        <v>1088</v>
      </c>
      <c r="C32" s="1038"/>
      <c r="D32" s="1204">
        <v>1</v>
      </c>
      <c r="E32" s="1205" t="s">
        <v>1089</v>
      </c>
      <c r="F32" s="1203" t="s">
        <v>445</v>
      </c>
      <c r="G32" s="1325" t="s">
        <v>445</v>
      </c>
      <c r="H32" s="1325" t="s">
        <v>445</v>
      </c>
      <c r="I32" s="1203" t="s">
        <v>445</v>
      </c>
      <c r="J32" s="1203" t="s">
        <v>445</v>
      </c>
      <c r="K32" s="801"/>
      <c r="V32" s="1017">
        <v>23</v>
      </c>
    </row>
    <row customHeight="1" ht="11.549999999999999">
      <c r="A33" s="1017"/>
      <c r="C33" s="1017"/>
      <c r="D33" s="859"/>
      <c r="E33" s="1092" t="s">
        <v>724</v>
      </c>
      <c r="F33" s="1084"/>
      <c r="G33" s="1084"/>
      <c r="H33" s="1084"/>
      <c r="I33" s="1084"/>
      <c r="J33" s="1084"/>
      <c r="K33" s="1085"/>
      <c r="U33" s="1017"/>
      <c r="V33" s="1017">
        <v>11</v>
      </c>
    </row>
    <row customHeight="1" ht="24">
      <c r="A34" s="1017"/>
      <c r="B34" s="1093" t="s">
        <v>774</v>
      </c>
      <c r="C34" s="1038"/>
      <c r="D34" s="1204">
        <v>2</v>
      </c>
      <c r="E34" s="1205" t="s">
        <v>1090</v>
      </c>
      <c r="F34" s="1332" t="s">
        <v>445</v>
      </c>
      <c r="G34" s="1332" t="s">
        <v>445</v>
      </c>
      <c r="H34" s="1332" t="s">
        <v>445</v>
      </c>
      <c r="I34" s="1203"/>
      <c r="J34" s="1203"/>
      <c r="K34" s="801"/>
      <c r="V34" s="1017">
        <v>23</v>
      </c>
    </row>
    <row customHeight="1" ht="11.549999999999999">
      <c r="A35" s="1017"/>
      <c r="C35" s="1017"/>
      <c r="D35" s="859"/>
      <c r="E35" s="1092" t="s">
        <v>1091</v>
      </c>
      <c r="F35" s="1084"/>
      <c r="G35" s="1206"/>
      <c r="H35" s="1084"/>
      <c r="I35" s="1206"/>
      <c r="J35" s="1084"/>
      <c r="K35" s="1085"/>
      <c r="U35" s="1017"/>
      <c r="V35" s="1017">
        <v>11</v>
      </c>
    </row>
    <row customHeight="1" ht="71.25">
      <c r="A36" s="1017"/>
      <c r="B36" s="1017" t="s">
        <v>1092</v>
      </c>
      <c r="C36" s="1038"/>
      <c r="D36" s="1204">
        <v>3</v>
      </c>
      <c r="E36" s="1205" t="s">
        <v>1093</v>
      </c>
      <c r="F36" s="1207" t="s">
        <v>445</v>
      </c>
      <c r="G36" s="1326" t="s">
        <v>1094</v>
      </c>
      <c r="H36" s="1325" t="s">
        <v>445</v>
      </c>
      <c r="I36" s="1036" t="s">
        <v>1094</v>
      </c>
      <c r="J36" s="1203" t="s">
        <v>445</v>
      </c>
      <c r="K36" s="801" t="s">
        <v>1095</v>
      </c>
      <c r="V36" s="1017">
        <v>68</v>
      </c>
    </row>
    <row customHeight="1" ht="11.549999999999999">
      <c r="A37" s="1017"/>
      <c r="C37" s="1017"/>
      <c r="D37" s="859"/>
      <c r="E37" s="1092" t="s">
        <v>1096</v>
      </c>
      <c r="F37" s="1084"/>
      <c r="G37" s="1206"/>
      <c r="H37" s="1206"/>
      <c r="I37" s="1206"/>
      <c r="J37" s="1206"/>
      <c r="K37" s="1085"/>
      <c r="U37" s="1017"/>
      <c r="V37" s="1017">
        <v>11</v>
      </c>
    </row>
    <row customHeight="1" ht="71.25">
      <c r="A38" s="1017"/>
      <c r="B38" s="1017" t="s">
        <v>1097</v>
      </c>
      <c r="C38" s="1038"/>
      <c r="D38" s="1204">
        <v>4</v>
      </c>
      <c r="E38" s="1205" t="s">
        <v>1098</v>
      </c>
      <c r="F38" s="1207" t="s">
        <v>445</v>
      </c>
      <c r="G38" s="1326" t="s">
        <v>1094</v>
      </c>
      <c r="H38" s="1327" t="s">
        <v>445</v>
      </c>
      <c r="I38" s="1036" t="s">
        <v>1094</v>
      </c>
      <c r="J38" s="1033" t="s">
        <v>445</v>
      </c>
      <c r="K38" s="1191" t="s">
        <v>1099</v>
      </c>
      <c r="V38" s="1017">
        <v>68</v>
      </c>
    </row>
    <row customHeight="1" ht="11.549999999999999">
      <c r="A39" s="1017"/>
      <c r="C39" s="1017"/>
      <c r="D39" s="859"/>
      <c r="E39" s="1092" t="s">
        <v>1100</v>
      </c>
      <c r="F39" s="1084"/>
      <c r="G39" s="1084"/>
      <c r="H39" s="1208"/>
      <c r="I39" s="1084"/>
      <c r="J39" s="1208"/>
      <c r="K39" s="1085"/>
      <c r="U39" s="1017"/>
      <c r="V39" s="1017">
        <v>11</v>
      </c>
    </row>
    <row customHeight="1" ht="22.5" hidden="1">
      <c r="A40" s="961" t="s">
        <v>84</v>
      </c>
      <c r="B40" s="1017">
        <v>0</v>
      </c>
      <c r="C40" s="1195">
        <v>4</v>
      </c>
      <c r="D40" s="1017">
        <v>6</v>
      </c>
      <c r="E40" s="1017">
        <v>36</v>
      </c>
      <c r="F40" s="1017">
        <v>9</v>
      </c>
      <c r="G40" s="1270">
        <v>0</v>
      </c>
      <c r="H40" s="1270">
        <v>0</v>
      </c>
      <c r="I40" s="1017">
        <v>25</v>
      </c>
      <c r="J40" s="1017">
        <v>33</v>
      </c>
      <c r="K40" s="929">
        <v>93</v>
      </c>
      <c r="L40" s="1017">
        <v>10</v>
      </c>
      <c r="M40" s="1017">
        <v>10</v>
      </c>
      <c r="N40" s="1017">
        <v>10</v>
      </c>
      <c r="O40" s="1017">
        <v>10</v>
      </c>
      <c r="P40" s="1017">
        <v>10</v>
      </c>
      <c r="Q40" s="1017">
        <v>10</v>
      </c>
      <c r="R40" s="1017">
        <v>10</v>
      </c>
      <c r="S40" s="1017">
        <v>10</v>
      </c>
      <c r="T40" s="1017">
        <v>10</v>
      </c>
      <c r="U40" s="1187">
        <v>10</v>
      </c>
      <c r="V40" s="1017">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39051E-3A82-813B-06F1-27B2F2EADBE2}"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60571" width="6.7109375" hidden="1" customWidth="1"/>
    <col min="4" max="4" style="50881" width="6.7109375" hidden="1" customWidth="1"/>
    <col min="5" max="5" style="50801" width="3.00390625" customWidth="1"/>
    <col min="6" max="6" style="50801" width="6.00390625" customWidth="1"/>
    <col min="7" max="7" style="50801" width="37.00390625" customWidth="1"/>
    <col min="8" max="8" style="50801" width="16.00390625" customWidth="1"/>
    <col min="9" max="10" style="50801" width="19.00390625" customWidth="1"/>
    <col min="11" max="11" style="50801" width="24.00390625" customWidth="1"/>
    <col min="12" max="13" style="50801" width="25.00390625" customWidth="1"/>
    <col min="14" max="16" style="50801" width="17.00390625" customWidth="1"/>
    <col min="17" max="24" style="50801" width="19.00390625" customWidth="1"/>
    <col min="25" max="25" style="50801" width="7.00390625" customWidth="1"/>
    <col min="26" max="26" style="50801" width="3.00390625" customWidth="1"/>
    <col min="27" max="27" style="50801" width="6.00390625" customWidth="1"/>
    <col min="28" max="28" style="50801" width="34.00390625" customWidth="1"/>
    <col min="29" max="30" style="50801" width="8.00390625" customWidth="1"/>
    <col min="31" max="31" style="50801" width="9.140625" hidden="1"/>
  </cols>
  <sheetData>
    <row s="50881" customFormat="1" customHeight="1" ht="10.5" hidden="1">
      <c r="A1" s="1407"/>
      <c r="B1" s="1407"/>
      <c r="C1" s="1407"/>
      <c r="E1" s="1049"/>
      <c r="H1" s="1672"/>
      <c r="AE1" s="929" t="s">
        <v>14</v>
      </c>
    </row>
    <row customHeight="1" ht="10.5" hidden="1">
      <c r="AE2" s="1270">
        <v>0</v>
      </c>
    </row>
    <row s="50765" customFormat="1" customHeight="1" ht="10.5" hidden="1">
      <c r="A3" s="1407"/>
      <c r="B3" s="1407"/>
      <c r="C3" s="1407"/>
      <c r="D3" s="929"/>
      <c r="E3" s="874"/>
      <c r="G3" s="2144" t="s">
        <v>1101</v>
      </c>
      <c r="H3" s="1668"/>
      <c r="AE3" s="1271">
        <v>0</v>
      </c>
    </row>
    <row customHeight="1" ht="3">
      <c r="AE4" s="1270">
        <v>3</v>
      </c>
    </row>
    <row customHeight="1" ht="27.299999999999997">
      <c r="F5" s="2760" t="str">
        <f>IP_NAME_FORM</f>
        <v>Форма 7. Информация об инвестиционных программах организации холодного водоснабжения и отчетах об их исполнении</v>
      </c>
      <c r="G5" s="2760"/>
      <c r="H5" s="2760"/>
      <c r="I5" s="2760"/>
      <c r="J5" s="2760"/>
      <c r="K5" s="2760"/>
      <c r="M5" s="1094"/>
      <c r="AB5" s="1418"/>
      <c r="AE5" s="1270">
        <v>26</v>
      </c>
    </row>
    <row s="50801" customFormat="1" customHeight="1" ht="16.8">
      <c r="A6" s="1678"/>
      <c r="B6" s="1678"/>
      <c r="C6" s="1678"/>
      <c r="D6" s="1672"/>
      <c r="E6" s="2147"/>
      <c r="F6" s="2761" t="str">
        <f>IF(org=0,"Не определено",org)</f>
        <v>КГУП "Примтеплоэнерго"</v>
      </c>
      <c r="G6" s="2761"/>
      <c r="H6" s="2761"/>
      <c r="I6" s="2761"/>
      <c r="J6" s="2761"/>
      <c r="K6" s="2761"/>
      <c r="M6" s="1094"/>
      <c r="AB6" s="1660"/>
      <c r="AE6" s="2143">
        <v>16</v>
      </c>
    </row>
    <row customHeight="1" ht="10.5">
      <c r="AE7" s="1270">
        <v>10</v>
      </c>
    </row>
    <row customHeight="1" ht="10.5">
      <c r="A8" s="1563"/>
      <c r="B8" s="1563"/>
      <c r="C8" s="1563"/>
      <c r="F8" s="2613" t="s">
        <v>439</v>
      </c>
      <c r="G8" s="2614"/>
      <c r="H8" s="2614"/>
      <c r="I8" s="2614"/>
      <c r="J8" s="2614"/>
      <c r="K8" s="2614"/>
      <c r="L8" s="2614"/>
      <c r="M8" s="2614"/>
      <c r="N8" s="2614"/>
      <c r="O8" s="2614"/>
      <c r="P8" s="2614"/>
      <c r="Q8" s="2614"/>
      <c r="R8" s="2614"/>
      <c r="S8" s="2614"/>
      <c r="T8" s="2614"/>
      <c r="U8" s="2614"/>
      <c r="V8" s="2614"/>
      <c r="W8" s="2614"/>
      <c r="X8" s="2614"/>
      <c r="Y8" s="2614"/>
      <c r="Z8" s="2614"/>
      <c r="AA8" s="2614"/>
      <c r="AB8" s="2615"/>
      <c r="AE8" s="1270">
        <v>10</v>
      </c>
    </row>
    <row customHeight="1" ht="43.050000000000004">
      <c r="A9" s="1417"/>
      <c r="B9" s="1417"/>
      <c r="C9" s="1417"/>
      <c r="F9" s="2639" t="s">
        <v>90</v>
      </c>
      <c r="G9" s="2639" t="s">
        <v>1101</v>
      </c>
      <c r="H9" s="2687" t="s">
        <v>1102</v>
      </c>
      <c r="I9" s="2639" t="s">
        <v>1103</v>
      </c>
      <c r="J9" s="2639" t="s">
        <v>1104</v>
      </c>
      <c r="K9" s="2639" t="s">
        <v>1105</v>
      </c>
      <c r="L9" s="2639" t="s">
        <v>1106</v>
      </c>
      <c r="M9" s="2639" t="s">
        <v>1107</v>
      </c>
      <c r="N9" s="2721" t="s">
        <v>1108</v>
      </c>
      <c r="O9" s="2721"/>
      <c r="P9" s="2721"/>
      <c r="Q9" s="2911" t="s">
        <v>1109</v>
      </c>
      <c r="R9" s="2912"/>
      <c r="S9" s="2912"/>
      <c r="T9" s="2913"/>
      <c r="U9" s="2911" t="s">
        <v>1110</v>
      </c>
      <c r="V9" s="2912"/>
      <c r="W9" s="2912"/>
      <c r="X9" s="2913"/>
      <c r="Y9" s="2613" t="s">
        <v>1111</v>
      </c>
      <c r="Z9" s="2614"/>
      <c r="AA9" s="2614"/>
      <c r="AB9" s="2615"/>
      <c r="AE9" s="1270">
        <v>41</v>
      </c>
    </row>
    <row customHeight="1" ht="43.050000000000004">
      <c r="A10" s="1417"/>
      <c r="B10" s="1417"/>
      <c r="C10" s="1417"/>
      <c r="F10" s="2687"/>
      <c r="G10" s="2687"/>
      <c r="H10" s="2744"/>
      <c r="I10" s="2687"/>
      <c r="J10" s="2687"/>
      <c r="K10" s="2687"/>
      <c r="L10" s="2687"/>
      <c r="M10" s="2687"/>
      <c r="N10" s="1415" t="s">
        <v>1112</v>
      </c>
      <c r="O10" s="1415" t="s">
        <v>1113</v>
      </c>
      <c r="P10" s="1416" t="s">
        <v>1114</v>
      </c>
      <c r="Q10" s="1427" t="s">
        <v>91</v>
      </c>
      <c r="R10" s="1427" t="s">
        <v>1115</v>
      </c>
      <c r="S10" s="1427" t="s">
        <v>1116</v>
      </c>
      <c r="T10" s="1428" t="s">
        <v>1117</v>
      </c>
      <c r="U10" s="1427" t="s">
        <v>91</v>
      </c>
      <c r="V10" s="1427" t="s">
        <v>1118</v>
      </c>
      <c r="W10" s="1427" t="s">
        <v>1116</v>
      </c>
      <c r="X10" s="1428" t="s">
        <v>1117</v>
      </c>
      <c r="Y10" s="813" t="s">
        <v>1119</v>
      </c>
      <c r="Z10" s="2613" t="s">
        <v>90</v>
      </c>
      <c r="AA10" s="2615"/>
      <c r="AB10" s="1561" t="s">
        <v>1120</v>
      </c>
      <c r="AE10" s="1270">
        <v>41</v>
      </c>
    </row>
    <row s="50882" customFormat="1" customHeight="1" ht="5.25" hidden="1">
      <c r="A11" s="1564"/>
      <c r="B11" s="1564"/>
      <c r="C11" s="1564"/>
      <c r="E11" s="1562"/>
      <c r="F11" s="2918" t="s">
        <v>515</v>
      </c>
      <c r="G11" s="2915"/>
      <c r="H11" s="2914"/>
      <c r="I11" s="2914"/>
      <c r="J11" s="2914"/>
      <c r="K11" s="2916"/>
      <c r="L11" s="2916"/>
      <c r="M11" s="2916"/>
      <c r="N11" s="2914"/>
      <c r="O11" s="2914"/>
      <c r="P11" s="2639"/>
      <c r="Q11" s="2691"/>
      <c r="R11" s="2691"/>
      <c r="S11" s="2691"/>
      <c r="T11" s="2914"/>
      <c r="U11" s="2691"/>
      <c r="V11" s="2691"/>
      <c r="W11" s="2691"/>
      <c r="X11" s="2914"/>
      <c r="Y11" s="2620"/>
      <c r="Z11" s="2620"/>
      <c r="AA11" s="2620"/>
      <c r="AB11" s="2620"/>
      <c r="AD11" s="1023" t="s">
        <v>1121</v>
      </c>
      <c r="AE11" s="1023">
        <v>0</v>
      </c>
    </row>
    <row s="50882" customFormat="1" customHeight="1" ht="5.25" hidden="1">
      <c r="A12" s="1408"/>
      <c r="B12" s="1408"/>
      <c r="C12" s="1408"/>
      <c r="E12" s="1030"/>
      <c r="F12" s="2918"/>
      <c r="G12" s="2915"/>
      <c r="H12" s="2914"/>
      <c r="I12" s="2914"/>
      <c r="J12" s="2914"/>
      <c r="K12" s="2916"/>
      <c r="L12" s="2916"/>
      <c r="M12" s="2916"/>
      <c r="N12" s="2914"/>
      <c r="O12" s="2914"/>
      <c r="P12" s="2639"/>
      <c r="Q12" s="2691"/>
      <c r="R12" s="2691"/>
      <c r="S12" s="2691"/>
      <c r="T12" s="2914"/>
      <c r="U12" s="2691"/>
      <c r="V12" s="2691"/>
      <c r="W12" s="2691"/>
      <c r="X12" s="2914"/>
      <c r="Y12" s="2917"/>
      <c r="Z12" s="2917"/>
      <c r="AA12" s="2917"/>
      <c r="AB12" s="2917"/>
      <c r="AE12" s="1023">
        <v>0</v>
      </c>
    </row>
    <row customHeight="1" ht="10.5">
      <c r="F13" s="1414"/>
      <c r="G13" s="1162" t="s">
        <v>1122</v>
      </c>
      <c r="H13" s="1680"/>
      <c r="I13" s="1084"/>
      <c r="J13" s="1084"/>
      <c r="K13" s="1084"/>
      <c r="L13" s="1084"/>
      <c r="M13" s="1084"/>
      <c r="N13" s="1084"/>
      <c r="O13" s="1084"/>
      <c r="P13" s="1084"/>
      <c r="Q13" s="1084"/>
      <c r="R13" s="1084"/>
      <c r="S13" s="1084"/>
      <c r="T13" s="1084"/>
      <c r="U13" s="1084"/>
      <c r="V13" s="1084"/>
      <c r="W13" s="1084"/>
      <c r="X13" s="1084"/>
      <c r="Y13" s="1084"/>
      <c r="Z13" s="1208"/>
      <c r="AA13" s="1208"/>
      <c r="AB13" s="1429"/>
      <c r="AE13" s="1270">
        <v>10</v>
      </c>
    </row>
    <row customHeight="1" ht="10.5">
      <c r="AE14" s="1270">
        <v>10</v>
      </c>
    </row>
    <row s="50882" customFormat="1" customHeight="1" ht="10.5">
      <c r="A15" s="1679"/>
      <c r="B15" s="1679"/>
      <c r="C15" s="1679"/>
      <c r="E15" s="1030"/>
      <c r="H15" s="1023">
        <f>_xlfn.IFERROR(MATCH("нет",IP_MAIN_DIFFERENTIATION_EVENTS_FLAG,0),0)</f>
        <v>0</v>
      </c>
      <c r="AE15" s="1023">
        <v>10</v>
      </c>
    </row>
    <row customHeight="1" ht="10.5" hidden="1">
      <c r="A16" s="1407" t="s">
        <v>84</v>
      </c>
      <c r="B16" s="1407">
        <v>0</v>
      </c>
      <c r="C16" s="1407">
        <v>0</v>
      </c>
      <c r="D16" s="929">
        <v>0</v>
      </c>
      <c r="E16" s="1021">
        <v>3</v>
      </c>
      <c r="F16" s="1270">
        <v>6</v>
      </c>
      <c r="G16" s="1270">
        <v>37</v>
      </c>
      <c r="H16" s="1667">
        <v>16</v>
      </c>
      <c r="I16" s="1270">
        <v>19</v>
      </c>
      <c r="J16" s="1270">
        <v>19</v>
      </c>
      <c r="K16" s="1270">
        <v>24</v>
      </c>
      <c r="L16" s="1270">
        <v>25</v>
      </c>
      <c r="M16" s="1270">
        <v>25</v>
      </c>
      <c r="N16" s="1270">
        <v>17</v>
      </c>
      <c r="O16" s="1270">
        <v>17</v>
      </c>
      <c r="P16" s="1270">
        <v>17</v>
      </c>
      <c r="Q16" s="1270">
        <v>19</v>
      </c>
      <c r="R16" s="1270">
        <v>19</v>
      </c>
      <c r="S16" s="1270">
        <v>19</v>
      </c>
      <c r="T16" s="1270">
        <v>19</v>
      </c>
      <c r="U16" s="1270">
        <v>19</v>
      </c>
      <c r="V16" s="1270">
        <v>19</v>
      </c>
      <c r="W16" s="1270">
        <v>19</v>
      </c>
      <c r="X16" s="1270">
        <v>19</v>
      </c>
      <c r="Y16" s="1270">
        <v>7</v>
      </c>
      <c r="Z16" s="1270">
        <v>3</v>
      </c>
      <c r="AA16" s="1270">
        <v>6</v>
      </c>
      <c r="AB16" s="1270">
        <v>34</v>
      </c>
      <c r="AC16" s="1270">
        <v>8</v>
      </c>
      <c r="AD16" s="1270">
        <v>8</v>
      </c>
      <c r="AE16" s="1270">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0D0AD7-3D4F-6BDD-4501-9EB7A6CE19C1}"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60571" width="4.140625" hidden="1" customWidth="1"/>
    <col min="4" max="4" style="50881" width="4.140625" hidden="1" customWidth="1"/>
    <col min="5" max="5" style="50801" width="3.00390625" customWidth="1"/>
    <col min="6" max="6" style="50801" width="14.00390625" customWidth="1"/>
    <col min="7" max="7" style="50801" width="3.00390625" customWidth="1"/>
    <col min="8" max="8" style="50801" width="7.00390625" customWidth="1"/>
    <col min="9" max="10" style="50801" width="16.00390625" customWidth="1"/>
    <col min="11" max="11" style="50801" width="25.00390625" customWidth="1"/>
    <col min="12" max="12" style="50801" width="7.00390625" customWidth="1"/>
    <col min="13" max="13" style="50801" width="15.00390625" customWidth="1"/>
    <col min="14" max="14" style="50801" width="3.00390625" customWidth="1"/>
    <col min="15" max="15" style="50801" width="4.00390625" customWidth="1"/>
    <col min="16" max="16" style="50801" width="8.00390625" customWidth="1"/>
    <col min="17" max="17" style="50801" width="21.00390625" customWidth="1"/>
    <col min="18" max="18" style="50801" width="14.00390625" customWidth="1"/>
    <col min="19" max="20" style="50801" width="17.00390625" customWidth="1"/>
    <col min="21" max="21" style="50801" width="9.00390625" customWidth="1"/>
    <col min="22" max="22" style="50801" width="12.00390625" customWidth="1"/>
    <col min="23" max="23" style="50801" width="9.00390625" customWidth="1"/>
    <col min="24" max="24" style="50801" width="21.00390625" customWidth="1"/>
    <col min="25" max="25" style="50801" width="12.00390625" customWidth="1"/>
    <col min="26" max="26" style="50801" width="3.00390625" customWidth="1"/>
    <col min="27" max="27" style="50801" width="6.00390625" customWidth="1"/>
    <col min="28" max="28" style="50801" width="38.00390625" customWidth="1"/>
    <col min="29" max="29" style="50801" width="15.00390625" customWidth="1"/>
    <col min="30" max="30" style="50801" width="37.57421875" hidden="1" customWidth="1"/>
    <col min="31" max="31" style="50801" width="15.7109375" hidden="1" customWidth="1"/>
    <col min="32" max="34" style="50801" width="16.00390625" customWidth="1"/>
    <col min="35" max="37" style="50801" width="16.7109375" hidden="1" customWidth="1"/>
    <col min="38" max="58" style="50801" width="8.00390625" customWidth="1"/>
    <col min="59" max="59" style="50801" width="9.140625" hidden="1"/>
  </cols>
  <sheetData>
    <row s="50881" customFormat="1" customHeight="1" ht="10.5" hidden="1">
      <c r="A1" s="1407"/>
      <c r="B1" s="1407"/>
      <c r="C1" s="1407"/>
      <c r="E1" s="1049"/>
      <c r="H1" s="1672"/>
      <c r="L1" s="1640"/>
      <c r="M1" s="1640"/>
      <c r="AD1" s="1640"/>
      <c r="AH1" s="1659"/>
      <c r="AI1" s="1652"/>
      <c r="BG1" s="929" t="s">
        <v>14</v>
      </c>
    </row>
    <row customHeight="1" ht="10.5" hidden="1">
      <c r="BG2" s="1270">
        <v>0</v>
      </c>
    </row>
    <row s="50765" customFormat="1" customHeight="1" ht="10.5" hidden="1">
      <c r="A3" s="1407"/>
      <c r="B3" s="1407"/>
      <c r="C3" s="1407"/>
      <c r="D3" s="929"/>
      <c r="E3" s="874"/>
      <c r="H3" s="1668"/>
      <c r="L3" s="1638"/>
      <c r="M3" s="1638"/>
      <c r="AD3" s="1638"/>
      <c r="AH3" s="1657"/>
      <c r="AI3" s="1650"/>
      <c r="BG3" s="1271">
        <v>0</v>
      </c>
    </row>
    <row customHeight="1" ht="3">
      <c r="BG4" s="1270">
        <v>3</v>
      </c>
    </row>
    <row customHeight="1" ht="27.299999999999997">
      <c r="F5" s="2760" t="str">
        <f>IP_NAME_FORM</f>
        <v>Форма 7. Информация об инвестиционных программах организации холодного водоснабжения и отчетах об их исполнении</v>
      </c>
      <c r="G5" s="2760"/>
      <c r="H5" s="2760"/>
      <c r="I5" s="2760"/>
      <c r="J5" s="2760"/>
      <c r="K5" s="2760"/>
      <c r="L5" s="1647"/>
      <c r="M5" s="1647"/>
      <c r="AG5" s="1418"/>
      <c r="AH5" s="1660"/>
      <c r="BG5" s="1270">
        <v>26</v>
      </c>
    </row>
    <row customHeight="1" ht="10.5">
      <c r="F6" s="2688" t="str">
        <f>IF(org=0,"Не определено",org)</f>
        <v>КГУП "Примтеплоэнерго"</v>
      </c>
      <c r="G6" s="2688"/>
      <c r="H6" s="2688"/>
      <c r="I6" s="2688"/>
      <c r="J6" s="2688"/>
      <c r="K6" s="2688"/>
      <c r="L6" s="1648"/>
      <c r="M6" s="1648"/>
      <c r="BG6" s="1270">
        <v>10</v>
      </c>
    </row>
    <row customHeight="1" ht="11.549999999999999">
      <c r="E7" s="1420"/>
      <c r="F7" s="1431"/>
      <c r="G7" s="1431"/>
      <c r="H7" s="1696"/>
      <c r="I7" s="1431"/>
      <c r="J7" s="1431"/>
      <c r="K7" s="1433"/>
      <c r="L7" s="1645"/>
      <c r="M7" s="1645"/>
      <c r="N7" s="1431"/>
      <c r="O7" s="1431"/>
      <c r="P7" s="1431"/>
      <c r="Q7" s="1433"/>
      <c r="R7" s="1431"/>
      <c r="S7" s="1431"/>
      <c r="T7" s="1431"/>
      <c r="U7" s="1431"/>
      <c r="V7" s="1431"/>
      <c r="W7" s="1431"/>
      <c r="X7" s="1431"/>
      <c r="Y7" s="1431"/>
      <c r="Z7" s="1431"/>
      <c r="AA7" s="1431"/>
      <c r="AB7" s="1431"/>
      <c r="AC7" s="1432"/>
      <c r="AD7" s="1644"/>
      <c r="AE7" s="1432"/>
      <c r="AF7" s="1431"/>
      <c r="AG7" s="1431"/>
      <c r="AH7" s="1662"/>
      <c r="AI7" s="1655"/>
      <c r="AJ7" s="1431"/>
      <c r="AK7" s="1431"/>
      <c r="AL7" s="1422"/>
      <c r="AM7" s="1422"/>
      <c r="AN7" s="1422"/>
      <c r="AO7" s="1419"/>
      <c r="AP7" s="1419"/>
      <c r="AQ7" s="1419"/>
      <c r="AR7" s="1419"/>
      <c r="AS7" s="1419"/>
      <c r="AT7" s="1419"/>
      <c r="AU7" s="1419"/>
      <c r="AV7" s="1419"/>
      <c r="AW7" s="1419"/>
      <c r="AX7" s="1419"/>
      <c r="AY7" s="1419"/>
      <c r="AZ7" s="1419"/>
      <c r="BA7" s="1419"/>
      <c r="BB7" s="1419"/>
      <c r="BC7" s="1419"/>
      <c r="BD7" s="1419"/>
      <c r="BE7" s="1419"/>
      <c r="BF7" s="1419"/>
      <c r="BG7" s="1270">
        <v>11</v>
      </c>
    </row>
    <row customHeight="1" ht="10.5">
      <c r="E8" s="1420"/>
      <c r="F8" s="2927" t="s">
        <v>439</v>
      </c>
      <c r="G8" s="2928"/>
      <c r="H8" s="2928"/>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8"/>
      <c r="AG8" s="2928"/>
      <c r="AH8" s="2928"/>
      <c r="AI8" s="2928"/>
      <c r="AJ8" s="2928"/>
      <c r="AK8" s="2929"/>
      <c r="AL8" s="1421"/>
      <c r="AM8" s="1419"/>
      <c r="AN8" s="1419"/>
      <c r="AO8" s="1419"/>
      <c r="AP8" s="1419"/>
      <c r="AQ8" s="1419"/>
      <c r="AR8" s="1419"/>
      <c r="AS8" s="1419"/>
      <c r="AT8" s="1419"/>
      <c r="AU8" s="1419"/>
      <c r="AV8" s="1419"/>
      <c r="AW8" s="1419"/>
      <c r="AX8" s="1419"/>
      <c r="AY8" s="1419"/>
      <c r="AZ8" s="1419"/>
      <c r="BA8" s="1419"/>
      <c r="BB8" s="1419"/>
      <c r="BC8" s="1419"/>
      <c r="BD8" s="1419"/>
      <c r="BE8" s="1419"/>
      <c r="BF8" s="1419"/>
      <c r="BG8" s="1270">
        <v>10</v>
      </c>
    </row>
    <row customHeight="1" ht="24">
      <c r="A9" s="1417"/>
      <c r="B9" s="1417"/>
      <c r="C9" s="1417"/>
      <c r="E9" s="1420"/>
      <c r="F9" s="2920" t="s">
        <v>1123</v>
      </c>
      <c r="G9" s="2921" t="s">
        <v>1124</v>
      </c>
      <c r="H9" s="2922"/>
      <c r="I9" s="2639" t="s">
        <v>1125</v>
      </c>
      <c r="J9" s="2639"/>
      <c r="K9" s="2639" t="s">
        <v>1126</v>
      </c>
      <c r="L9" s="2639"/>
      <c r="M9" s="2639"/>
      <c r="N9" s="2639"/>
      <c r="O9" s="2639"/>
      <c r="P9" s="2639"/>
      <c r="Q9" s="2639"/>
      <c r="R9" s="2639"/>
      <c r="S9" s="2639"/>
      <c r="T9" s="2639"/>
      <c r="U9" s="2639"/>
      <c r="V9" s="2639"/>
      <c r="W9" s="2639"/>
      <c r="X9" s="2639"/>
      <c r="Y9" s="2639"/>
      <c r="Z9" s="2704" t="s">
        <v>1127</v>
      </c>
      <c r="AA9" s="2705"/>
      <c r="AB9" s="2639" t="s">
        <v>1128</v>
      </c>
      <c r="AC9" s="2639"/>
      <c r="AD9" s="2639"/>
      <c r="AE9" s="2639"/>
      <c r="AF9" s="2687" t="s">
        <v>1129</v>
      </c>
      <c r="AG9" s="2639" t="s">
        <v>1130</v>
      </c>
      <c r="AH9" s="2639"/>
      <c r="AI9" s="2687" t="s">
        <v>1131</v>
      </c>
      <c r="AJ9" s="2639" t="s">
        <v>1132</v>
      </c>
      <c r="AK9" s="2639"/>
      <c r="AL9" s="1654"/>
      <c r="AM9" s="1419"/>
      <c r="AN9" s="1419"/>
      <c r="AO9" s="1419"/>
      <c r="AP9" s="1419"/>
      <c r="AQ9" s="1419"/>
      <c r="AR9" s="1419"/>
      <c r="AS9" s="1419"/>
      <c r="AT9" s="1419"/>
      <c r="AU9" s="1419"/>
      <c r="AV9" s="1419"/>
      <c r="AW9" s="1419"/>
      <c r="AX9" s="1419"/>
      <c r="AY9" s="1419"/>
      <c r="AZ9" s="1419"/>
      <c r="BA9" s="1419"/>
      <c r="BB9" s="1419"/>
      <c r="BC9" s="1419"/>
      <c r="BD9" s="1419"/>
      <c r="BE9" s="1419"/>
      <c r="BF9" s="1419"/>
      <c r="BG9" s="1270">
        <v>23</v>
      </c>
    </row>
    <row customHeight="1" ht="25.2">
      <c r="A10" s="1417"/>
      <c r="B10" s="1417"/>
      <c r="C10" s="1417"/>
      <c r="E10" s="1424"/>
      <c r="F10" s="2920"/>
      <c r="G10" s="2923"/>
      <c r="H10" s="2924"/>
      <c r="I10" s="2639"/>
      <c r="J10" s="2639"/>
      <c r="K10" s="2639" t="s">
        <v>1133</v>
      </c>
      <c r="L10" s="2613" t="s">
        <v>1134</v>
      </c>
      <c r="M10" s="2615"/>
      <c r="N10" s="2639" t="s">
        <v>1135</v>
      </c>
      <c r="O10" s="2639"/>
      <c r="P10" s="2639"/>
      <c r="Q10" s="2639"/>
      <c r="R10" s="2639"/>
      <c r="S10" s="2639"/>
      <c r="T10" s="2639"/>
      <c r="U10" s="2639"/>
      <c r="V10" s="2639"/>
      <c r="W10" s="2639"/>
      <c r="X10" s="2639"/>
      <c r="Y10" s="2639"/>
      <c r="Z10" s="2706"/>
      <c r="AA10" s="2707"/>
      <c r="AB10" s="2639"/>
      <c r="AC10" s="2639"/>
      <c r="AD10" s="2639"/>
      <c r="AE10" s="2639"/>
      <c r="AF10" s="2711"/>
      <c r="AG10" s="2639"/>
      <c r="AH10" s="2639"/>
      <c r="AI10" s="2711"/>
      <c r="AJ10" s="2639"/>
      <c r="AK10" s="2639"/>
      <c r="AL10" s="1654"/>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270">
        <v>24</v>
      </c>
    </row>
    <row s="50801" customFormat="1" customHeight="1" ht="25.2">
      <c r="A11" s="1641"/>
      <c r="B11" s="1641"/>
      <c r="C11" s="1641"/>
      <c r="D11" s="1640"/>
      <c r="E11" s="1642"/>
      <c r="F11" s="2920"/>
      <c r="G11" s="2923"/>
      <c r="H11" s="2924"/>
      <c r="I11" s="2639"/>
      <c r="J11" s="2639"/>
      <c r="K11" s="2639"/>
      <c r="L11" s="2687" t="s">
        <v>1136</v>
      </c>
      <c r="M11" s="2687" t="s">
        <v>1137</v>
      </c>
      <c r="N11" s="2639" t="s">
        <v>1138</v>
      </c>
      <c r="O11" s="2639"/>
      <c r="P11" s="2930" t="s">
        <v>1119</v>
      </c>
      <c r="Q11" s="2930" t="s">
        <v>1139</v>
      </c>
      <c r="R11" s="2930" t="s">
        <v>1140</v>
      </c>
      <c r="S11" s="2930" t="s">
        <v>1141</v>
      </c>
      <c r="T11" s="2930"/>
      <c r="U11" s="2930"/>
      <c r="V11" s="2930"/>
      <c r="W11" s="2930"/>
      <c r="X11" s="2930"/>
      <c r="Y11" s="2930"/>
      <c r="Z11" s="2706"/>
      <c r="AA11" s="2707"/>
      <c r="AB11" s="2639" t="s">
        <v>1142</v>
      </c>
      <c r="AC11" s="2639"/>
      <c r="AD11" s="2613" t="s">
        <v>1143</v>
      </c>
      <c r="AE11" s="2615"/>
      <c r="AF11" s="2711"/>
      <c r="AG11" s="2639"/>
      <c r="AH11" s="2639"/>
      <c r="AI11" s="2711"/>
      <c r="AJ11" s="2639"/>
      <c r="AK11" s="2639"/>
      <c r="AL11" s="1654"/>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7">
        <v>24</v>
      </c>
    </row>
    <row customHeight="1" ht="35.699999999999996">
      <c r="A12" s="1417"/>
      <c r="B12" s="1417"/>
      <c r="C12" s="1417"/>
      <c r="E12" s="1420"/>
      <c r="F12" s="2920"/>
      <c r="G12" s="2925"/>
      <c r="H12" s="2926"/>
      <c r="I12" s="1665" t="s">
        <v>91</v>
      </c>
      <c r="J12" s="1665" t="s">
        <v>1144</v>
      </c>
      <c r="K12" s="2639"/>
      <c r="L12" s="2744"/>
      <c r="M12" s="2744"/>
      <c r="N12" s="2639"/>
      <c r="O12" s="2639"/>
      <c r="P12" s="2930"/>
      <c r="Q12" s="2930"/>
      <c r="R12" s="2930"/>
      <c r="S12" s="1646" t="s">
        <v>88</v>
      </c>
      <c r="T12" s="1646" t="s">
        <v>89</v>
      </c>
      <c r="U12" s="1646" t="s">
        <v>87</v>
      </c>
      <c r="V12" s="1646" t="s">
        <v>1145</v>
      </c>
      <c r="W12" s="1646" t="s">
        <v>87</v>
      </c>
      <c r="X12" s="1646" t="s">
        <v>1146</v>
      </c>
      <c r="Y12" s="1646" t="s">
        <v>1147</v>
      </c>
      <c r="Z12" s="2712"/>
      <c r="AA12" s="2713"/>
      <c r="AB12" s="1653" t="s">
        <v>1148</v>
      </c>
      <c r="AC12" s="1653" t="s">
        <v>1149</v>
      </c>
      <c r="AD12" s="1653" t="s">
        <v>1148</v>
      </c>
      <c r="AE12" s="1653" t="s">
        <v>1149</v>
      </c>
      <c r="AF12" s="2744"/>
      <c r="AG12" s="1666" t="s">
        <v>1150</v>
      </c>
      <c r="AH12" s="1666" t="s">
        <v>1151</v>
      </c>
      <c r="AI12" s="2744"/>
      <c r="AJ12" s="1666" t="s">
        <v>1150</v>
      </c>
      <c r="AK12" s="1666" t="s">
        <v>1151</v>
      </c>
      <c r="AL12" s="1654"/>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270">
        <v>34</v>
      </c>
    </row>
    <row customHeight="1" ht="1.05">
      <c r="E13" s="1420"/>
      <c r="F13" s="1636">
        <v>0</v>
      </c>
      <c r="G13" s="1636"/>
      <c r="H13" s="1636"/>
      <c r="I13" s="1636"/>
      <c r="J13" s="1636"/>
      <c r="K13" s="1643"/>
      <c r="L13" s="1643"/>
      <c r="M13" s="1643"/>
      <c r="N13" s="1643"/>
      <c r="O13" s="1643"/>
      <c r="P13" s="1643"/>
      <c r="Q13" s="1643"/>
      <c r="R13" s="1643"/>
      <c r="S13" s="1643"/>
      <c r="T13" s="1643"/>
      <c r="U13" s="1643"/>
      <c r="V13" s="1643"/>
      <c r="W13" s="1643"/>
      <c r="X13" s="1643"/>
      <c r="Y13" s="1643"/>
      <c r="Z13" s="1643"/>
      <c r="AA13" s="1643"/>
      <c r="AB13" s="1643"/>
      <c r="AC13" s="1643"/>
      <c r="AD13" s="1643"/>
      <c r="AE13" s="1643"/>
      <c r="AF13" s="1643"/>
      <c r="AG13" s="1643"/>
      <c r="AH13" s="1661"/>
      <c r="AI13" s="1654"/>
      <c r="AJ13" s="1643"/>
      <c r="AK13" s="1643"/>
      <c r="AL13" s="1421"/>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270">
        <v>1</v>
      </c>
    </row>
    <row customHeight="1" ht="10.5">
      <c r="E14" s="1419"/>
      <c r="F14" s="1430"/>
      <c r="G14" s="1430"/>
      <c r="H14" s="1684"/>
      <c r="I14" s="1430"/>
      <c r="J14" s="1430"/>
      <c r="K14" s="1430"/>
      <c r="L14" s="1643"/>
      <c r="M14" s="1643"/>
      <c r="N14" s="1430"/>
      <c r="O14" s="1430"/>
      <c r="P14" s="1430"/>
      <c r="Q14" s="1430"/>
      <c r="R14" s="1430"/>
      <c r="S14" s="1430"/>
      <c r="T14" s="1430"/>
      <c r="U14" s="1430"/>
      <c r="V14" s="1430"/>
      <c r="W14" s="1430"/>
      <c r="X14" s="1430"/>
      <c r="Y14" s="1430"/>
      <c r="Z14" s="1430"/>
      <c r="AA14" s="1430"/>
      <c r="AB14" s="1430"/>
      <c r="AC14" s="1430"/>
      <c r="AD14" s="1643"/>
      <c r="AE14" s="1430"/>
      <c r="AF14" s="1430"/>
      <c r="AG14" s="1430"/>
      <c r="AH14" s="1661"/>
      <c r="AI14" s="1654"/>
      <c r="AJ14" s="1430"/>
      <c r="AK14" s="1430"/>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270">
        <v>10</v>
      </c>
    </row>
    <row customHeight="1" ht="13.5">
      <c r="E15" s="1419"/>
      <c r="F15" s="1426" t="s">
        <v>1152</v>
      </c>
      <c r="G15" s="1426"/>
      <c r="H15" s="1683"/>
      <c r="I15" s="1426"/>
      <c r="J15" s="1426"/>
      <c r="K15" s="1423"/>
      <c r="L15" s="1639"/>
      <c r="M15" s="1639"/>
      <c r="N15" s="1425"/>
      <c r="O15" s="1425"/>
      <c r="P15" s="1425"/>
      <c r="Q15" s="1425"/>
      <c r="R15" s="1425"/>
      <c r="S15" s="1425"/>
      <c r="T15" s="1425"/>
      <c r="U15" s="1425"/>
      <c r="V15" s="1425"/>
      <c r="W15" s="1425"/>
      <c r="X15" s="1425"/>
      <c r="Y15" s="1425"/>
      <c r="Z15" s="1423"/>
      <c r="AA15" s="1423"/>
      <c r="AB15" s="1423"/>
      <c r="AC15" s="1423"/>
      <c r="AD15" s="1639"/>
      <c r="AE15" s="1423"/>
      <c r="AF15" s="1423"/>
      <c r="AG15" s="1423"/>
      <c r="AH15" s="1658"/>
      <c r="AI15" s="1651"/>
      <c r="AJ15" s="1423"/>
      <c r="AK15" s="1423"/>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270">
        <v>13</v>
      </c>
    </row>
    <row customHeight="1" ht="10.5">
      <c r="BG16" s="1270">
        <v>10</v>
      </c>
    </row>
    <row customHeight="1" ht="10.5">
      <c r="E17" s="1419"/>
      <c r="F17" s="2919"/>
      <c r="G17" s="2919"/>
      <c r="H17" s="2919"/>
      <c r="I17" s="2919"/>
      <c r="J17" s="2919"/>
      <c r="K17" s="1423"/>
      <c r="L17" s="1639"/>
      <c r="M17" s="1639"/>
      <c r="N17" s="1425"/>
      <c r="O17" s="1425"/>
      <c r="P17" s="1425"/>
      <c r="Q17" s="1425"/>
      <c r="R17" s="1425"/>
      <c r="S17" s="1425"/>
      <c r="T17" s="1425"/>
      <c r="U17" s="1425"/>
      <c r="V17" s="1425"/>
      <c r="W17" s="1425"/>
      <c r="X17" s="1425"/>
      <c r="Y17" s="1425"/>
      <c r="Z17" s="1423"/>
      <c r="AA17" s="1423"/>
      <c r="AB17" s="1423"/>
      <c r="AC17" s="1423"/>
      <c r="AD17" s="1639"/>
      <c r="AE17" s="1423"/>
      <c r="AF17" s="1423"/>
      <c r="AG17" s="1423"/>
      <c r="AH17" s="1658"/>
      <c r="AI17" s="1651"/>
      <c r="AJ17" s="1423"/>
      <c r="AK17" s="1423"/>
      <c r="AL17" s="1419"/>
      <c r="AM17" s="1419"/>
      <c r="AN17" s="1419"/>
      <c r="AO17" s="1419"/>
      <c r="AP17" s="1419"/>
      <c r="AQ17" s="1419"/>
      <c r="AR17" s="1419"/>
      <c r="AS17" s="1419"/>
      <c r="AT17" s="1419"/>
      <c r="AU17" s="1419"/>
      <c r="AV17" s="1419"/>
      <c r="AW17" s="1419"/>
      <c r="AX17" s="1419"/>
      <c r="AY17" s="1419"/>
      <c r="AZ17" s="1419"/>
      <c r="BA17" s="1419"/>
      <c r="BB17" s="1419"/>
      <c r="BC17" s="1419"/>
      <c r="BD17" s="1419"/>
      <c r="BE17" s="1419"/>
      <c r="BF17" s="1419"/>
      <c r="BG17" s="1270">
        <v>10</v>
      </c>
    </row>
    <row customHeight="1" ht="10.5">
      <c r="E18" s="1419"/>
      <c r="F18" s="2919"/>
      <c r="G18" s="2919"/>
      <c r="H18" s="2919"/>
      <c r="I18" s="2919"/>
      <c r="J18" s="2919"/>
      <c r="K18" s="1423"/>
      <c r="L18" s="1639"/>
      <c r="M18" s="1639"/>
      <c r="N18" s="1425"/>
      <c r="O18" s="1425"/>
      <c r="P18" s="1425"/>
      <c r="Q18" s="1425"/>
      <c r="R18" s="1425"/>
      <c r="S18" s="1425"/>
      <c r="T18" s="1425"/>
      <c r="U18" s="1425"/>
      <c r="V18" s="1425"/>
      <c r="W18" s="1425"/>
      <c r="X18" s="1425"/>
      <c r="Y18" s="1425"/>
      <c r="Z18" s="1423"/>
      <c r="AA18" s="1423"/>
      <c r="AB18" s="1423"/>
      <c r="AC18" s="1423"/>
      <c r="AD18" s="1639"/>
      <c r="AE18" s="1423"/>
      <c r="AF18" s="1423"/>
      <c r="AG18" s="1423"/>
      <c r="AH18" s="1658"/>
      <c r="AI18" s="1651"/>
      <c r="AJ18" s="1423"/>
      <c r="AK18" s="1423"/>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270">
        <v>10</v>
      </c>
    </row>
    <row customHeight="1" ht="10.5">
      <c r="E19" s="1419"/>
      <c r="F19" s="2919"/>
      <c r="G19" s="2919"/>
      <c r="H19" s="2919"/>
      <c r="I19" s="2919"/>
      <c r="J19" s="2919"/>
      <c r="K19" s="1423"/>
      <c r="L19" s="1639"/>
      <c r="M19" s="1639"/>
      <c r="N19" s="1425"/>
      <c r="O19" s="1425"/>
      <c r="P19" s="1425"/>
      <c r="Q19" s="1425"/>
      <c r="R19" s="1425"/>
      <c r="S19" s="1425"/>
      <c r="T19" s="1425"/>
      <c r="U19" s="1425"/>
      <c r="V19" s="1425"/>
      <c r="W19" s="1425"/>
      <c r="X19" s="1425"/>
      <c r="Y19" s="1425"/>
      <c r="Z19" s="1423"/>
      <c r="AA19" s="1423"/>
      <c r="AB19" s="1423"/>
      <c r="AC19" s="1423"/>
      <c r="AD19" s="1639"/>
      <c r="AE19" s="1423"/>
      <c r="AF19" s="1423"/>
      <c r="AG19" s="1423"/>
      <c r="AH19" s="1658"/>
      <c r="AI19" s="1651"/>
      <c r="AJ19" s="1423"/>
      <c r="AK19" s="1423"/>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270">
        <v>10</v>
      </c>
    </row>
    <row customHeight="1" ht="10.5" hidden="1">
      <c r="A20" s="1407" t="s">
        <v>84</v>
      </c>
      <c r="B20" s="1407">
        <v>0</v>
      </c>
      <c r="C20" s="1407">
        <v>0</v>
      </c>
      <c r="D20" s="929">
        <v>0</v>
      </c>
      <c r="E20" s="1021">
        <v>3</v>
      </c>
      <c r="F20" s="1270">
        <v>14</v>
      </c>
      <c r="G20" s="1270">
        <v>3</v>
      </c>
      <c r="H20" s="1667">
        <v>7</v>
      </c>
      <c r="I20" s="1270">
        <v>16</v>
      </c>
      <c r="J20" s="1270">
        <v>16</v>
      </c>
      <c r="K20" s="1270">
        <v>25</v>
      </c>
      <c r="L20" s="1637">
        <v>7</v>
      </c>
      <c r="M20" s="1637">
        <v>15</v>
      </c>
      <c r="N20" s="1270">
        <v>3</v>
      </c>
      <c r="O20" s="1270">
        <v>4</v>
      </c>
      <c r="P20" s="1270">
        <v>8</v>
      </c>
      <c r="Q20" s="1270">
        <v>21</v>
      </c>
      <c r="R20" s="1270">
        <v>14</v>
      </c>
      <c r="S20" s="1270">
        <v>17</v>
      </c>
      <c r="T20" s="1270">
        <v>17</v>
      </c>
      <c r="U20" s="1270">
        <v>9</v>
      </c>
      <c r="V20" s="1270">
        <v>12</v>
      </c>
      <c r="W20" s="1270">
        <v>9</v>
      </c>
      <c r="X20" s="1270">
        <v>21</v>
      </c>
      <c r="Y20" s="1270">
        <v>12</v>
      </c>
      <c r="Z20" s="1270">
        <v>3</v>
      </c>
      <c r="AA20" s="1270">
        <v>6</v>
      </c>
      <c r="AB20" s="1270">
        <v>38</v>
      </c>
      <c r="AC20" s="1270">
        <v>15</v>
      </c>
      <c r="AD20" s="1637">
        <v>0</v>
      </c>
      <c r="AE20" s="1270">
        <v>0</v>
      </c>
      <c r="AF20" s="1270">
        <v>16</v>
      </c>
      <c r="AG20" s="1270">
        <v>16</v>
      </c>
      <c r="AH20" s="1656">
        <v>16</v>
      </c>
      <c r="AI20" s="1649">
        <v>0</v>
      </c>
      <c r="AJ20" s="1270">
        <v>0</v>
      </c>
      <c r="AK20" s="1270">
        <v>0</v>
      </c>
      <c r="AL20" s="1270">
        <v>8</v>
      </c>
      <c r="AM20" s="1270">
        <v>8</v>
      </c>
      <c r="AN20" s="1270">
        <v>8</v>
      </c>
      <c r="AO20" s="1270">
        <v>8</v>
      </c>
      <c r="AP20" s="1270">
        <v>8</v>
      </c>
      <c r="AQ20" s="1270">
        <v>8</v>
      </c>
      <c r="AR20" s="1270">
        <v>8</v>
      </c>
      <c r="AS20" s="1270">
        <v>8</v>
      </c>
      <c r="AT20" s="1270">
        <v>8</v>
      </c>
      <c r="AU20" s="1270">
        <v>8</v>
      </c>
      <c r="AV20" s="1270">
        <v>8</v>
      </c>
      <c r="AW20" s="1270">
        <v>8</v>
      </c>
      <c r="AX20" s="1270">
        <v>8</v>
      </c>
      <c r="AY20" s="1270">
        <v>8</v>
      </c>
      <c r="AZ20" s="1270">
        <v>8</v>
      </c>
      <c r="BA20" s="1270">
        <v>8</v>
      </c>
      <c r="BB20" s="1270">
        <v>8</v>
      </c>
      <c r="BC20" s="1270">
        <v>8</v>
      </c>
      <c r="BD20" s="1270">
        <v>8</v>
      </c>
      <c r="BE20" s="1270">
        <v>8</v>
      </c>
      <c r="BF20" s="1270">
        <v>8</v>
      </c>
      <c r="BG20" s="1270">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960146-AC63-4826-0509-F2D43CA6AB0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60571" width="4.140625" hidden="1" customWidth="1"/>
    <col min="4" max="4" style="50881" width="4.140625" hidden="1" customWidth="1"/>
    <col min="5" max="5" style="50801" width="3.00390625" customWidth="1"/>
    <col min="6" max="6" style="50801" width="6.00390625" customWidth="1"/>
    <col min="7" max="7" style="50801" width="60.00390625" customWidth="1"/>
    <col min="8" max="9" style="50801" width="21.7109375" hidden="1" customWidth="1"/>
    <col min="10" max="10" style="50801" width="0.140625" customWidth="1"/>
    <col min="11" max="11" style="50801" width="1.00390625" customWidth="1"/>
    <col min="12" max="22" style="50801" width="8.00390625" customWidth="1"/>
    <col min="23" max="23" style="50801" width="9.140625" hidden="1"/>
  </cols>
  <sheetData>
    <row s="50881" customFormat="1" customHeight="1" ht="10.5" hidden="1">
      <c r="A1" s="1678"/>
      <c r="B1" s="1678"/>
      <c r="C1" s="1678"/>
      <c r="E1" s="1049"/>
      <c r="W1" s="1672" t="s">
        <v>14</v>
      </c>
    </row>
    <row customHeight="1" ht="10.5" hidden="1">
      <c r="W2" s="1667">
        <v>0</v>
      </c>
    </row>
    <row s="50765" customFormat="1" customHeight="1" ht="10.5" hidden="1">
      <c r="A3" s="1678"/>
      <c r="B3" s="1678"/>
      <c r="C3" s="1678"/>
      <c r="D3" s="1672"/>
      <c r="E3" s="874"/>
      <c r="W3" s="1668">
        <v>0</v>
      </c>
    </row>
    <row customHeight="1" ht="3">
      <c r="W4" s="1667">
        <v>3</v>
      </c>
    </row>
    <row customHeight="1" ht="27.299999999999997">
      <c r="F5" s="276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60"/>
      <c r="H5" s="2760"/>
      <c r="I5" s="2760"/>
      <c r="J5" s="2760"/>
      <c r="W5" s="1667">
        <v>26</v>
      </c>
    </row>
    <row customHeight="1" ht="10.5">
      <c r="F6" s="2688" t="str">
        <f>IF(org=0,"Не определено",org)</f>
        <v>КГУП "Примтеплоэнерго"</v>
      </c>
      <c r="G6" s="2688"/>
      <c r="H6" s="2688"/>
      <c r="I6" s="2688"/>
      <c r="J6" s="2688"/>
      <c r="W6" s="1667">
        <v>10</v>
      </c>
    </row>
    <row customHeight="1" ht="11.549999999999999">
      <c r="E7" s="1682"/>
      <c r="F7" s="1739"/>
      <c r="G7" s="1739"/>
      <c r="H7" s="1739"/>
      <c r="I7" s="1739"/>
      <c r="J7" s="1739"/>
      <c r="K7" s="1669"/>
      <c r="L7" s="1669"/>
      <c r="M7" s="1669"/>
      <c r="N7" s="1669"/>
      <c r="O7" s="1669"/>
      <c r="P7" s="1669"/>
      <c r="Q7" s="1669"/>
      <c r="R7" s="1669"/>
      <c r="S7" s="1669"/>
      <c r="T7" s="1669"/>
      <c r="U7" s="1669"/>
      <c r="V7" s="1669"/>
      <c r="W7" s="1667">
        <v>11</v>
      </c>
    </row>
    <row s="50882" customFormat="1" customHeight="1" ht="4.2">
      <c r="A8" s="1679"/>
      <c r="B8" s="1679"/>
      <c r="C8" s="1679"/>
      <c r="E8" s="1740"/>
      <c r="F8" s="1741"/>
      <c r="G8" s="1741"/>
      <c r="H8" s="1741"/>
      <c r="I8" s="1741"/>
      <c r="J8" s="1741"/>
      <c r="K8" s="1740"/>
      <c r="L8" s="1740"/>
      <c r="M8" s="1740"/>
      <c r="N8" s="1740"/>
      <c r="O8" s="1740"/>
      <c r="P8" s="1740"/>
      <c r="Q8" s="1740"/>
      <c r="R8" s="1740"/>
      <c r="S8" s="1740"/>
      <c r="T8" s="1740"/>
      <c r="U8" s="1740"/>
      <c r="V8" s="1740"/>
      <c r="W8" s="1023">
        <v>4</v>
      </c>
    </row>
    <row customHeight="1" ht="10.5">
      <c r="E9" s="1682"/>
      <c r="F9" s="2931" t="s">
        <v>439</v>
      </c>
      <c r="G9" s="2932"/>
      <c r="H9" s="2932"/>
      <c r="I9" s="2932"/>
      <c r="J9" s="2932"/>
      <c r="K9" s="1752"/>
      <c r="L9" s="1669"/>
      <c r="M9" s="1669"/>
      <c r="N9" s="1669"/>
      <c r="O9" s="1669"/>
      <c r="P9" s="1669"/>
      <c r="Q9" s="1669"/>
      <c r="R9" s="1669"/>
      <c r="S9" s="1669"/>
      <c r="T9" s="1669"/>
      <c r="U9" s="1669"/>
      <c r="V9" s="1669"/>
      <c r="W9" s="1667">
        <v>10</v>
      </c>
    </row>
    <row customHeight="1" ht="25.2">
      <c r="E10" s="1669"/>
      <c r="F10" s="2935" t="s">
        <v>90</v>
      </c>
      <c r="G10" s="2940" t="s">
        <v>1153</v>
      </c>
      <c r="H10" s="2938" t="s">
        <v>1154</v>
      </c>
      <c r="I10" s="2938"/>
      <c r="J10" s="2938"/>
      <c r="K10" s="1745"/>
      <c r="L10" s="1669"/>
      <c r="M10" s="1669"/>
      <c r="N10" s="1669"/>
      <c r="O10" s="1669"/>
      <c r="P10" s="1669"/>
      <c r="Q10" s="1669"/>
      <c r="R10" s="1669"/>
      <c r="S10" s="1669"/>
      <c r="T10" s="1669"/>
      <c r="U10" s="1669"/>
      <c r="V10" s="1669"/>
      <c r="W10" s="1667">
        <v>24</v>
      </c>
    </row>
    <row customHeight="1" ht="25.5">
      <c r="E11" s="1669"/>
      <c r="F11" s="2936"/>
      <c r="G11" s="2940"/>
      <c r="H11" s="2939">
        <f>INDEX(IP_MAIN_LIST_NAME_IP,MATCH(H8,IP_MAIN_LIST_IP_ID,0))&amp;" ("&amp;INDEX(IP_MAIN_START_DATE,MATCH(H8,IP_MAIN_LIST_IP_ID,0))&amp;"-"&amp;INDEX(IP_MAIN_END_DATE,MATCH(H8,IP_MAIN_LIST_IP_ID,0))&amp;")"</f>
      </c>
      <c r="I11" s="2939"/>
      <c r="J11" s="2939"/>
      <c r="K11" s="1745"/>
      <c r="L11" s="1669"/>
      <c r="M11" s="1669"/>
      <c r="N11" s="1669"/>
      <c r="O11" s="1669"/>
      <c r="P11" s="1669"/>
      <c r="Q11" s="1669"/>
      <c r="R11" s="1669"/>
      <c r="S11" s="1669"/>
      <c r="T11" s="1669"/>
      <c r="U11" s="1669"/>
      <c r="V11" s="1669"/>
      <c r="W11" s="1667">
        <v>24</v>
      </c>
    </row>
    <row customHeight="1" ht="10.5">
      <c r="F12" s="2937"/>
      <c r="G12" s="2940"/>
      <c r="H12" s="1738" t="s">
        <v>1155</v>
      </c>
      <c r="I12" s="1744"/>
      <c r="J12" s="1738"/>
      <c r="K12" s="1746"/>
      <c r="W12" s="1667">
        <v>10</v>
      </c>
    </row>
    <row customHeight="1" ht="10.5" hidden="1">
      <c r="F13" s="1738">
        <v>1</v>
      </c>
      <c r="G13" s="1738">
        <v>2</v>
      </c>
      <c r="H13" s="1738">
        <v>3</v>
      </c>
      <c r="I13" s="1738">
        <v>4</v>
      </c>
      <c r="J13" s="1738">
        <v>5</v>
      </c>
      <c r="K13" s="1746"/>
      <c r="W13" s="1667">
        <v>0</v>
      </c>
    </row>
    <row customHeight="1" ht="11.549999999999999">
      <c r="F14" s="1737" t="s">
        <v>1156</v>
      </c>
      <c r="G14" s="2933" t="s">
        <v>1157</v>
      </c>
      <c r="H14" s="2933"/>
      <c r="I14" s="2933"/>
      <c r="J14" s="2933"/>
      <c r="K14" s="1746"/>
      <c r="W14" s="1667">
        <v>11</v>
      </c>
    </row>
    <row customHeight="1" ht="11.549999999999999">
      <c r="F15" s="1742">
        <v>1</v>
      </c>
      <c r="G15" s="1202" t="s">
        <v>1158</v>
      </c>
      <c r="H15" s="1748">
        <f>SUM(I15:J15)</f>
        <v>0</v>
      </c>
      <c r="I15" s="1748">
        <f>SUM(I16:I27)</f>
        <v>0</v>
      </c>
      <c r="J15" s="1737"/>
      <c r="K15" s="1746"/>
      <c r="W15" s="1667">
        <v>11</v>
      </c>
    </row>
    <row customHeight="1" ht="24">
      <c r="F16" s="1742" t="s">
        <v>1159</v>
      </c>
      <c r="G16" s="1749" t="s">
        <v>1160</v>
      </c>
      <c r="H16" s="1748">
        <f>SUM(I16:J16)</f>
        <v>0</v>
      </c>
      <c r="I16" s="1747"/>
      <c r="J16" s="1737"/>
      <c r="K16" s="1746"/>
      <c r="W16" s="1667">
        <v>23</v>
      </c>
    </row>
    <row customHeight="1" ht="24">
      <c r="F17" s="1742" t="s">
        <v>1161</v>
      </c>
      <c r="G17" s="1749" t="s">
        <v>1162</v>
      </c>
      <c r="H17" s="1748">
        <f>SUM(I17:J17)</f>
        <v>0</v>
      </c>
      <c r="I17" s="1747"/>
      <c r="J17" s="1737"/>
      <c r="K17" s="1746"/>
      <c r="W17" s="1667">
        <v>23</v>
      </c>
    </row>
    <row customHeight="1" ht="35.699999999999996">
      <c r="F18" s="1742" t="s">
        <v>1163</v>
      </c>
      <c r="G18" s="1749" t="s">
        <v>1164</v>
      </c>
      <c r="H18" s="1748">
        <f>SUM(I18:J18)</f>
        <v>0</v>
      </c>
      <c r="I18" s="1747"/>
      <c r="J18" s="1737"/>
      <c r="K18" s="1746"/>
      <c r="W18" s="1667">
        <v>34</v>
      </c>
    </row>
    <row customHeight="1" ht="35.699999999999996">
      <c r="F19" s="1742" t="s">
        <v>1165</v>
      </c>
      <c r="G19" s="1749" t="s">
        <v>1166</v>
      </c>
      <c r="H19" s="1748">
        <f>SUM(I19:J19)</f>
        <v>0</v>
      </c>
      <c r="I19" s="1747"/>
      <c r="J19" s="1737"/>
      <c r="K19" s="1746"/>
      <c r="W19" s="1667">
        <v>34</v>
      </c>
    </row>
    <row customHeight="1" ht="48.29999999999999">
      <c r="F20" s="1742" t="s">
        <v>1167</v>
      </c>
      <c r="G20" s="1749" t="s">
        <v>1168</v>
      </c>
      <c r="H20" s="1748">
        <f>SUM(I20:J20)</f>
        <v>0</v>
      </c>
      <c r="I20" s="1747"/>
      <c r="J20" s="1737"/>
      <c r="K20" s="1746"/>
      <c r="W20" s="1667">
        <v>46</v>
      </c>
    </row>
    <row customHeight="1" ht="35.699999999999996">
      <c r="F21" s="1742" t="s">
        <v>1169</v>
      </c>
      <c r="G21" s="1749" t="s">
        <v>1170</v>
      </c>
      <c r="H21" s="1748">
        <f>SUM(I21:J21)</f>
        <v>0</v>
      </c>
      <c r="I21" s="1747"/>
      <c r="J21" s="1737"/>
      <c r="K21" s="1746"/>
      <c r="W21" s="1667">
        <v>34</v>
      </c>
    </row>
    <row customHeight="1" ht="35.699999999999996">
      <c r="F22" s="1742" t="s">
        <v>1171</v>
      </c>
      <c r="G22" s="1749" t="s">
        <v>1172</v>
      </c>
      <c r="H22" s="1748">
        <f>SUM(I22:J22)</f>
        <v>0</v>
      </c>
      <c r="I22" s="1747"/>
      <c r="J22" s="1737"/>
      <c r="K22" s="1746"/>
      <c r="W22" s="1667">
        <v>34</v>
      </c>
    </row>
    <row customHeight="1" ht="24">
      <c r="F23" s="1742" t="s">
        <v>1173</v>
      </c>
      <c r="G23" s="1749" t="s">
        <v>1174</v>
      </c>
      <c r="H23" s="1748">
        <f>SUM(I23:J23)</f>
        <v>0</v>
      </c>
      <c r="I23" s="1747"/>
      <c r="J23" s="1737"/>
      <c r="K23" s="1746"/>
      <c r="W23" s="1667">
        <v>23</v>
      </c>
    </row>
    <row customHeight="1" ht="24">
      <c r="F24" s="1742" t="s">
        <v>1175</v>
      </c>
      <c r="G24" s="1749" t="s">
        <v>1176</v>
      </c>
      <c r="H24" s="1748">
        <f>SUM(I24:J24)</f>
        <v>0</v>
      </c>
      <c r="I24" s="1747"/>
      <c r="J24" s="1737"/>
      <c r="K24" s="1746"/>
      <c r="W24" s="1667">
        <v>23</v>
      </c>
    </row>
    <row customHeight="1" ht="35.699999999999996">
      <c r="F25" s="1742" t="s">
        <v>1177</v>
      </c>
      <c r="G25" s="1749" t="s">
        <v>1178</v>
      </c>
      <c r="H25" s="1748">
        <f>SUM(I25:J25)</f>
        <v>0</v>
      </c>
      <c r="I25" s="1747"/>
      <c r="J25" s="1737"/>
      <c r="K25" s="1746"/>
      <c r="W25" s="1667">
        <v>34</v>
      </c>
    </row>
    <row customHeight="1" ht="35.699999999999996">
      <c r="F26" s="1742" t="s">
        <v>1179</v>
      </c>
      <c r="G26" s="1749" t="s">
        <v>1180</v>
      </c>
      <c r="H26" s="1748">
        <f>SUM(I26:J26)</f>
        <v>0</v>
      </c>
      <c r="I26" s="1747"/>
      <c r="J26" s="1737"/>
      <c r="K26" s="1746"/>
      <c r="W26" s="1667">
        <v>34</v>
      </c>
    </row>
    <row customHeight="1" ht="11.549999999999999">
      <c r="F27" s="1742" t="s">
        <v>1181</v>
      </c>
      <c r="G27" s="1749" t="s">
        <v>1182</v>
      </c>
      <c r="H27" s="1748">
        <f>SUM(I27:J27)</f>
        <v>0</v>
      </c>
      <c r="I27" s="1747"/>
      <c r="J27" s="1737"/>
      <c r="K27" s="1746"/>
      <c r="W27" s="1667">
        <v>11</v>
      </c>
    </row>
    <row customHeight="1" ht="11.549999999999999">
      <c r="F28" s="1742">
        <v>2</v>
      </c>
      <c r="G28" s="1202" t="s">
        <v>1183</v>
      </c>
      <c r="H28" s="1748">
        <f>SUM(I28:J28)</f>
        <v>0</v>
      </c>
      <c r="I28" s="1748">
        <f>SUM(I29:I31)</f>
        <v>0</v>
      </c>
      <c r="J28" s="1737"/>
      <c r="K28" s="1746"/>
      <c r="W28" s="1667">
        <v>11</v>
      </c>
    </row>
    <row customHeight="1" ht="11.549999999999999">
      <c r="F29" s="1742" t="s">
        <v>846</v>
      </c>
      <c r="G29" s="1749" t="s">
        <v>1184</v>
      </c>
      <c r="H29" s="1748">
        <f>SUM(I29:J29)</f>
        <v>0</v>
      </c>
      <c r="I29" s="1747"/>
      <c r="J29" s="1737"/>
      <c r="K29" s="1746"/>
      <c r="W29" s="1667">
        <v>11</v>
      </c>
    </row>
    <row customHeight="1" ht="11.549999999999999">
      <c r="F30" s="1742" t="s">
        <v>446</v>
      </c>
      <c r="G30" s="1749" t="s">
        <v>1185</v>
      </c>
      <c r="H30" s="1748">
        <f>SUM(I30:J30)</f>
        <v>0</v>
      </c>
      <c r="I30" s="1747"/>
      <c r="J30" s="1737"/>
      <c r="K30" s="1746"/>
      <c r="W30" s="1667">
        <v>11</v>
      </c>
    </row>
    <row customHeight="1" ht="11.549999999999999">
      <c r="F31" s="1742" t="s">
        <v>449</v>
      </c>
      <c r="G31" s="1749" t="s">
        <v>1186</v>
      </c>
      <c r="H31" s="1748">
        <f>SUM(I31:J31)</f>
        <v>0</v>
      </c>
      <c r="I31" s="1747"/>
      <c r="J31" s="1737"/>
      <c r="K31" s="1746"/>
      <c r="W31" s="1667">
        <v>11</v>
      </c>
    </row>
    <row customHeight="1" ht="11.549999999999999">
      <c r="F32" s="1742">
        <v>3</v>
      </c>
      <c r="G32" s="1202" t="s">
        <v>1187</v>
      </c>
      <c r="H32" s="1748">
        <f>SUM(I32:J32)</f>
        <v>0</v>
      </c>
      <c r="I32" s="1748">
        <f>SUM(I33:I34)</f>
        <v>0</v>
      </c>
      <c r="J32" s="1737"/>
      <c r="K32" s="1746"/>
      <c r="W32" s="1667">
        <v>11</v>
      </c>
    </row>
    <row customHeight="1" ht="48.29999999999999">
      <c r="F33" s="1742" t="s">
        <v>463</v>
      </c>
      <c r="G33" s="1749" t="s">
        <v>1188</v>
      </c>
      <c r="H33" s="1748">
        <f>SUM(I33:J33)</f>
        <v>0</v>
      </c>
      <c r="I33" s="1747"/>
      <c r="J33" s="1737"/>
      <c r="K33" s="1746"/>
      <c r="W33" s="1667">
        <v>46</v>
      </c>
    </row>
    <row customHeight="1" ht="11.549999999999999">
      <c r="F34" s="1742" t="s">
        <v>471</v>
      </c>
      <c r="G34" s="1749" t="s">
        <v>1189</v>
      </c>
      <c r="H34" s="1748">
        <f>SUM(I34:J34)</f>
        <v>0</v>
      </c>
      <c r="I34" s="1747"/>
      <c r="J34" s="1737"/>
      <c r="K34" s="1746"/>
      <c r="W34" s="1667">
        <v>11</v>
      </c>
    </row>
    <row customHeight="1" ht="11.549999999999999">
      <c r="F35" s="1742">
        <v>4</v>
      </c>
      <c r="G35" s="1202" t="s">
        <v>1190</v>
      </c>
      <c r="H35" s="1748">
        <f>SUM(I35:J35)</f>
        <v>0</v>
      </c>
      <c r="I35" s="1747"/>
      <c r="J35" s="1737"/>
      <c r="K35" s="1746"/>
      <c r="W35" s="1667">
        <v>11</v>
      </c>
    </row>
    <row customHeight="1" ht="11.549999999999999">
      <c r="F36" s="1742"/>
      <c r="G36" s="1205" t="s">
        <v>1191</v>
      </c>
      <c r="H36" s="1748">
        <f>SUM(I36:J36)</f>
        <v>0</v>
      </c>
      <c r="I36" s="1748">
        <f>SUM(I15,I28,I32,I35)</f>
        <v>0</v>
      </c>
      <c r="J36" s="1737"/>
      <c r="K36" s="1746"/>
      <c r="W36" s="1667">
        <v>11</v>
      </c>
    </row>
    <row customHeight="1" ht="29.25">
      <c r="F37" s="1743" t="s">
        <v>1192</v>
      </c>
      <c r="G37" s="2934" t="s">
        <v>1193</v>
      </c>
      <c r="H37" s="2934"/>
      <c r="I37" s="2934"/>
      <c r="J37" s="2934"/>
      <c r="K37" s="1746"/>
      <c r="W37" s="1667">
        <v>28</v>
      </c>
    </row>
    <row customHeight="1" ht="24">
      <c r="F38" s="1742" t="s">
        <v>101</v>
      </c>
      <c r="G38" s="1202" t="s">
        <v>1194</v>
      </c>
      <c r="H38" s="1748">
        <f>SUM(I38:J38)</f>
        <v>0</v>
      </c>
      <c r="I38" s="1748">
        <f>SUM(I39,I44,I47)</f>
        <v>0</v>
      </c>
      <c r="J38" s="1737"/>
      <c r="K38" s="1746"/>
      <c r="W38" s="1667">
        <v>23</v>
      </c>
    </row>
    <row customHeight="1" ht="11.549999999999999">
      <c r="F39" s="1742" t="s">
        <v>1159</v>
      </c>
      <c r="G39" s="1749" t="s">
        <v>1158</v>
      </c>
      <c r="H39" s="1748">
        <f>SUM(I39:J39)</f>
        <v>0</v>
      </c>
      <c r="I39" s="1748">
        <f>SUM(I40:I43)</f>
        <v>0</v>
      </c>
      <c r="J39" s="1737"/>
      <c r="K39" s="1746"/>
      <c r="W39" s="1667">
        <v>11</v>
      </c>
    </row>
    <row customHeight="1" ht="24">
      <c r="F40" s="1742" t="s">
        <v>1195</v>
      </c>
      <c r="G40" s="1750" t="s">
        <v>1196</v>
      </c>
      <c r="H40" s="1748">
        <f>SUM(I40:J40)</f>
        <v>0</v>
      </c>
      <c r="I40" s="1747"/>
      <c r="J40" s="1737"/>
      <c r="K40" s="1746"/>
      <c r="W40" s="1667">
        <v>23</v>
      </c>
    </row>
    <row customHeight="1" ht="11.549999999999999">
      <c r="F41" s="1742" t="s">
        <v>1197</v>
      </c>
      <c r="G41" s="1750" t="s">
        <v>1198</v>
      </c>
      <c r="H41" s="1748">
        <f>SUM(I41:J41)</f>
        <v>0</v>
      </c>
      <c r="I41" s="1747"/>
      <c r="J41" s="1737"/>
      <c r="K41" s="1746"/>
      <c r="W41" s="1667">
        <v>11</v>
      </c>
    </row>
    <row customHeight="1" ht="11.549999999999999">
      <c r="F42" s="1742" t="s">
        <v>1199</v>
      </c>
      <c r="G42" s="1750" t="s">
        <v>1200</v>
      </c>
      <c r="H42" s="1748">
        <f>SUM(I42:J42)</f>
        <v>0</v>
      </c>
      <c r="I42" s="1747"/>
      <c r="J42" s="1737"/>
      <c r="K42" s="1746"/>
      <c r="W42" s="1667">
        <v>11</v>
      </c>
    </row>
    <row customHeight="1" ht="35.699999999999996">
      <c r="F43" s="1742" t="s">
        <v>1201</v>
      </c>
      <c r="G43" s="1750" t="s">
        <v>1202</v>
      </c>
      <c r="H43" s="1748">
        <f>SUM(I43:J43)</f>
        <v>0</v>
      </c>
      <c r="I43" s="1747"/>
      <c r="J43" s="1737"/>
      <c r="K43" s="1746"/>
      <c r="W43" s="1667">
        <v>34</v>
      </c>
    </row>
    <row customHeight="1" ht="11.549999999999999">
      <c r="F44" s="1742" t="s">
        <v>1161</v>
      </c>
      <c r="G44" s="1749" t="s">
        <v>1187</v>
      </c>
      <c r="H44" s="1748">
        <f>SUM(I44:J44)</f>
        <v>0</v>
      </c>
      <c r="I44" s="1748">
        <f>SUM(I45:I46)</f>
        <v>0</v>
      </c>
      <c r="J44" s="1737"/>
      <c r="K44" s="1746"/>
      <c r="W44" s="1667">
        <v>11</v>
      </c>
    </row>
    <row customHeight="1" ht="48.29999999999999">
      <c r="F45" s="1742" t="s">
        <v>1203</v>
      </c>
      <c r="G45" s="1750" t="s">
        <v>1188</v>
      </c>
      <c r="H45" s="1748">
        <f>SUM(I45:J45)</f>
        <v>0</v>
      </c>
      <c r="I45" s="1747"/>
      <c r="J45" s="1737"/>
      <c r="K45" s="1746"/>
      <c r="W45" s="1667">
        <v>46</v>
      </c>
    </row>
    <row customHeight="1" ht="11.549999999999999">
      <c r="F46" s="1742" t="s">
        <v>1204</v>
      </c>
      <c r="G46" s="1750" t="s">
        <v>1189</v>
      </c>
      <c r="H46" s="1748">
        <f>SUM(I46:J46)</f>
        <v>0</v>
      </c>
      <c r="I46" s="1747"/>
      <c r="J46" s="1737"/>
      <c r="K46" s="1746"/>
      <c r="W46" s="1667">
        <v>11</v>
      </c>
    </row>
    <row customHeight="1" ht="11.549999999999999">
      <c r="F47" s="1742" t="s">
        <v>1163</v>
      </c>
      <c r="G47" s="1749" t="s">
        <v>1205</v>
      </c>
      <c r="H47" s="1748">
        <f>SUM(I47:J47)</f>
        <v>0</v>
      </c>
      <c r="I47" s="1747"/>
      <c r="J47" s="1737"/>
      <c r="K47" s="1746"/>
      <c r="W47" s="1667">
        <v>11</v>
      </c>
    </row>
    <row customHeight="1" ht="24">
      <c r="F48" s="1742" t="s">
        <v>105</v>
      </c>
      <c r="G48" s="1202" t="s">
        <v>1206</v>
      </c>
      <c r="H48" s="1748">
        <f>SUM(I48:J48)</f>
        <v>0</v>
      </c>
      <c r="I48" s="1748">
        <f>SUM(I49,I54,I57)</f>
        <v>0</v>
      </c>
      <c r="J48" s="1737"/>
      <c r="K48" s="1746"/>
      <c r="W48" s="1667">
        <v>23</v>
      </c>
    </row>
    <row customHeight="1" ht="11.549999999999999">
      <c r="F49" s="1742" t="s">
        <v>846</v>
      </c>
      <c r="G49" s="1749" t="s">
        <v>1158</v>
      </c>
      <c r="H49" s="1748">
        <f>SUM(I49:J49)</f>
        <v>0</v>
      </c>
      <c r="I49" s="1748">
        <f>SUM(I50:I53)</f>
        <v>0</v>
      </c>
      <c r="J49" s="1737"/>
      <c r="K49" s="1746"/>
      <c r="W49" s="1667">
        <v>11</v>
      </c>
    </row>
    <row customHeight="1" ht="24">
      <c r="F50" s="1742" t="s">
        <v>849</v>
      </c>
      <c r="G50" s="1750" t="s">
        <v>1196</v>
      </c>
      <c r="H50" s="1748">
        <f>SUM(I50:J50)</f>
        <v>0</v>
      </c>
      <c r="I50" s="1747"/>
      <c r="J50" s="1737"/>
      <c r="K50" s="1746"/>
      <c r="W50" s="1667">
        <v>23</v>
      </c>
    </row>
    <row customHeight="1" ht="11.549999999999999">
      <c r="F51" s="1742" t="s">
        <v>852</v>
      </c>
      <c r="G51" s="1750" t="s">
        <v>1198</v>
      </c>
      <c r="H51" s="1748">
        <f>SUM(I51:J51)</f>
        <v>0</v>
      </c>
      <c r="I51" s="1747"/>
      <c r="J51" s="1737"/>
      <c r="K51" s="1746"/>
      <c r="W51" s="1667">
        <v>11</v>
      </c>
    </row>
    <row customHeight="1" ht="11.549999999999999">
      <c r="F52" s="1742" t="s">
        <v>1207</v>
      </c>
      <c r="G52" s="1750" t="s">
        <v>1200</v>
      </c>
      <c r="H52" s="1748">
        <f>SUM(I52:J52)</f>
        <v>0</v>
      </c>
      <c r="I52" s="1747"/>
      <c r="J52" s="1737"/>
      <c r="K52" s="1746"/>
      <c r="W52" s="1667">
        <v>11</v>
      </c>
    </row>
    <row customHeight="1" ht="35.699999999999996">
      <c r="F53" s="1742" t="s">
        <v>1208</v>
      </c>
      <c r="G53" s="1750" t="s">
        <v>1202</v>
      </c>
      <c r="H53" s="1748">
        <f>SUM(I53:J53)</f>
        <v>0</v>
      </c>
      <c r="I53" s="1747"/>
      <c r="J53" s="1737"/>
      <c r="K53" s="1746"/>
      <c r="W53" s="1667">
        <v>34</v>
      </c>
    </row>
    <row customHeight="1" ht="11.549999999999999">
      <c r="F54" s="1742" t="s">
        <v>446</v>
      </c>
      <c r="G54" s="1749" t="s">
        <v>1187</v>
      </c>
      <c r="H54" s="1748">
        <f>SUM(I54:J54)</f>
        <v>0</v>
      </c>
      <c r="I54" s="1748">
        <f>SUM(I55:I56)</f>
        <v>0</v>
      </c>
      <c r="J54" s="1737"/>
      <c r="K54" s="1746"/>
      <c r="W54" s="1667">
        <v>11</v>
      </c>
    </row>
    <row customHeight="1" ht="48.29999999999999">
      <c r="F55" s="1742" t="s">
        <v>856</v>
      </c>
      <c r="G55" s="1750" t="s">
        <v>1188</v>
      </c>
      <c r="H55" s="1748">
        <f>SUM(I55:J55)</f>
        <v>0</v>
      </c>
      <c r="I55" s="1747"/>
      <c r="J55" s="1737"/>
      <c r="K55" s="1746"/>
      <c r="W55" s="1667">
        <v>46</v>
      </c>
    </row>
    <row customHeight="1" ht="11.549999999999999">
      <c r="F56" s="1742" t="s">
        <v>858</v>
      </c>
      <c r="G56" s="1750" t="s">
        <v>1189</v>
      </c>
      <c r="H56" s="1748">
        <f>SUM(I56:J56)</f>
        <v>0</v>
      </c>
      <c r="I56" s="1747"/>
      <c r="J56" s="1737"/>
      <c r="K56" s="1746"/>
      <c r="W56" s="1667">
        <v>11</v>
      </c>
    </row>
    <row customHeight="1" ht="11.549999999999999">
      <c r="F57" s="1742" t="s">
        <v>449</v>
      </c>
      <c r="G57" s="1749" t="s">
        <v>1205</v>
      </c>
      <c r="H57" s="1748">
        <f>SUM(I57:J57)</f>
        <v>0</v>
      </c>
      <c r="I57" s="1747"/>
      <c r="J57" s="1737"/>
      <c r="K57" s="1746"/>
      <c r="W57" s="1667">
        <v>11</v>
      </c>
    </row>
    <row customHeight="1" ht="11.549999999999999">
      <c r="F58" s="1742"/>
      <c r="G58" s="1751" t="s">
        <v>1191</v>
      </c>
      <c r="H58" s="1748">
        <f>SUM(I58:J58)</f>
        <v>0</v>
      </c>
      <c r="I58" s="1748">
        <f>SUM(I38,I48)</f>
        <v>0</v>
      </c>
      <c r="J58" s="1737"/>
      <c r="K58" s="1746"/>
      <c r="W58" s="1667">
        <v>11</v>
      </c>
    </row>
    <row customHeight="1" ht="10.5" hidden="1">
      <c r="A59" s="1678" t="s">
        <v>84</v>
      </c>
      <c r="B59" s="1678">
        <v>0</v>
      </c>
      <c r="C59" s="1678">
        <v>0</v>
      </c>
      <c r="D59" s="1672">
        <v>0</v>
      </c>
      <c r="E59" s="1021">
        <v>3</v>
      </c>
      <c r="F59" s="1667">
        <v>6</v>
      </c>
      <c r="G59" s="1667">
        <v>60</v>
      </c>
      <c r="H59" s="1667">
        <v>0</v>
      </c>
      <c r="I59" s="1667">
        <v>0</v>
      </c>
      <c r="J59" s="1667">
        <v>0</v>
      </c>
      <c r="K59" s="1667">
        <v>1</v>
      </c>
      <c r="L59" s="1667">
        <v>8</v>
      </c>
      <c r="M59" s="1667">
        <v>8</v>
      </c>
      <c r="N59" s="1667">
        <v>8</v>
      </c>
      <c r="O59" s="1667">
        <v>8</v>
      </c>
      <c r="P59" s="1667">
        <v>8</v>
      </c>
      <c r="Q59" s="1667">
        <v>8</v>
      </c>
      <c r="R59" s="1667">
        <v>8</v>
      </c>
      <c r="S59" s="1667">
        <v>8</v>
      </c>
      <c r="T59" s="1667">
        <v>8</v>
      </c>
      <c r="U59" s="1667">
        <v>8</v>
      </c>
      <c r="V59" s="1667">
        <v>8</v>
      </c>
      <c r="W59" s="1667">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86328D-FE27-E9AE-5DCD-8E9F696C26AE}"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60775" width="4.7109375" hidden="1" customWidth="1"/>
    <col min="2" max="2" style="60781" width="4.7109375" hidden="1" customWidth="1"/>
    <col min="3" max="4" style="60775" width="4.7109375" hidden="1" customWidth="1"/>
    <col min="5" max="5" style="60775" width="3.00390625" customWidth="1"/>
    <col min="6" max="6" style="60775" width="6.00390625" customWidth="1"/>
    <col min="7" max="7" style="60775" width="18.00390625" customWidth="1"/>
    <col min="8" max="8" style="60775" width="27.00390625" customWidth="1"/>
    <col min="9" max="9" style="60775" width="18.00390625" customWidth="1"/>
    <col min="10" max="14" style="60775" width="0.8515625" hidden="1" customWidth="1"/>
    <col min="15" max="28" style="60775" width="21.7109375" hidden="1" customWidth="1"/>
    <col min="29" max="71" style="60775" width="0.8515625" hidden="1" customWidth="1"/>
    <col min="72" max="79" style="60775" width="21.7109375" customWidth="1"/>
    <col min="80" max="81" style="60775" width="29.140625" customWidth="1"/>
    <col min="82" max="89" style="60775" width="21.7109375" customWidth="1"/>
    <col min="90" max="102" style="60775" width="0.7109375" customWidth="1"/>
    <col min="103" max="114" style="60775" width="21.7109375" hidden="1" customWidth="1"/>
    <col min="115" max="178" style="60775" width="0.7109375" hidden="1" customWidth="1"/>
    <col min="179" max="179" style="60775" width="0.140625" customWidth="1"/>
    <col min="180" max="184" style="60775" width="8.00390625" customWidth="1"/>
    <col min="185" max="185" style="60775" width="9.140625" hidden="1"/>
  </cols>
  <sheetData>
    <row s="60705" customFormat="1" customHeight="1" ht="12" hidden="1">
      <c r="B1" s="1435"/>
      <c r="C1" s="1436"/>
      <c r="D1" s="1436"/>
      <c r="GC1" s="1434" t="s">
        <v>14</v>
      </c>
    </row>
    <row s="60705" customFormat="1" customHeight="1" ht="12" hidden="1">
      <c r="B2" s="1435"/>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GC2" s="1434">
        <v>0</v>
      </c>
    </row>
    <row s="60705" customFormat="1" customHeight="1" ht="12" hidden="1">
      <c r="B3" s="1435"/>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7"/>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GC3" s="1434">
        <v>0</v>
      </c>
    </row>
    <row customHeight="1" ht="10.5">
      <c r="B4" s="1439"/>
      <c r="C4" s="1440"/>
      <c r="D4" s="1440"/>
      <c r="E4" s="1440"/>
      <c r="F4" s="1440"/>
      <c r="G4" s="1440"/>
      <c r="H4" s="1441"/>
      <c r="I4" s="1441"/>
      <c r="J4" s="1441"/>
      <c r="K4" s="1441"/>
      <c r="L4" s="1441"/>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GC4" s="1438">
        <v>10</v>
      </c>
    </row>
    <row s="60715" customFormat="1" customHeight="1" ht="27.299999999999997">
      <c r="B5" s="2384"/>
      <c r="E5" s="2386"/>
      <c r="F5" s="29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681"/>
      <c r="H5" s="2681"/>
      <c r="I5" s="2681"/>
      <c r="J5" s="2681"/>
      <c r="K5" s="2681"/>
      <c r="L5" s="2681"/>
      <c r="M5" s="2681"/>
      <c r="N5" s="2681"/>
      <c r="O5" s="2681"/>
      <c r="P5" s="2681"/>
      <c r="Q5" s="2681"/>
      <c r="R5" s="2681"/>
      <c r="S5" s="2681"/>
      <c r="T5" s="2681"/>
      <c r="U5" s="2681"/>
      <c r="V5" s="2681"/>
      <c r="W5" s="2681"/>
      <c r="X5" s="2681"/>
      <c r="Y5" s="2681"/>
      <c r="Z5" s="2681"/>
      <c r="AA5" s="2681"/>
      <c r="AB5" s="2681"/>
      <c r="AC5" s="2681"/>
      <c r="AD5" s="2681"/>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c r="BP5" s="2681"/>
      <c r="BQ5" s="2681"/>
      <c r="BR5" s="2681"/>
      <c r="BS5" s="2681"/>
      <c r="GC5" s="2385">
        <v>26</v>
      </c>
    </row>
    <row s="60720" customFormat="1" customHeight="1" ht="18.75">
      <c r="B6" s="1455"/>
      <c r="E6" s="1457"/>
      <c r="F6" s="2726" t="str">
        <f>IF(org=0,"Не определено",org)</f>
        <v>КГУП "Примтеплоэнерго"</v>
      </c>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GC6" s="1456">
        <v>18</v>
      </c>
    </row>
    <row s="60724" customFormat="1" customHeight="1" ht="10.5">
      <c r="B7" s="1444"/>
      <c r="E7" s="1445"/>
      <c r="F7" s="1445"/>
      <c r="G7" s="1447"/>
      <c r="H7" s="1441"/>
      <c r="I7" s="1441"/>
      <c r="J7" s="1441"/>
      <c r="K7" s="1441"/>
      <c r="L7" s="1441"/>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Q7" s="1445"/>
      <c r="DR7" s="1445"/>
      <c r="DS7" s="1445"/>
      <c r="DT7" s="1445"/>
      <c r="DU7" s="1445"/>
      <c r="DV7" s="1445"/>
      <c r="DW7" s="1445"/>
      <c r="DX7" s="1445"/>
      <c r="DY7" s="1445"/>
      <c r="DZ7" s="1445"/>
      <c r="EA7" s="1445"/>
      <c r="EB7" s="1445"/>
      <c r="EC7" s="1445"/>
      <c r="ED7" s="1445"/>
      <c r="EE7" s="1445"/>
      <c r="EF7" s="1445"/>
      <c r="EG7" s="1445"/>
      <c r="EH7" s="1445"/>
      <c r="EI7" s="1445"/>
      <c r="EJ7" s="1445"/>
      <c r="EK7" s="1445"/>
      <c r="EL7" s="1445"/>
      <c r="EM7" s="1445"/>
      <c r="EN7" s="1445"/>
      <c r="EO7" s="1445"/>
      <c r="EP7" s="1445"/>
      <c r="EQ7" s="1445"/>
      <c r="ER7" s="1445"/>
      <c r="ES7" s="1445"/>
      <c r="ET7" s="1445"/>
      <c r="EU7" s="1445"/>
      <c r="EV7" s="1445"/>
      <c r="EW7" s="1445"/>
      <c r="EX7" s="1445"/>
      <c r="EY7" s="1445"/>
      <c r="EZ7" s="1445"/>
      <c r="FA7" s="1445"/>
      <c r="FB7" s="1445"/>
      <c r="FC7" s="1445"/>
      <c r="FD7" s="1445"/>
      <c r="FE7" s="1445"/>
      <c r="FF7" s="1445"/>
      <c r="FG7" s="1445"/>
      <c r="FH7" s="1445"/>
      <c r="FI7" s="1445"/>
      <c r="FJ7" s="1445"/>
      <c r="FK7" s="1445"/>
      <c r="FL7" s="1445"/>
      <c r="FM7" s="1445"/>
      <c r="FN7" s="1445"/>
      <c r="FO7" s="1445"/>
      <c r="FP7" s="1445"/>
      <c r="FQ7" s="1445"/>
      <c r="FR7" s="1445"/>
      <c r="FS7" s="1445"/>
      <c r="FT7" s="1445"/>
      <c r="FU7" s="1445"/>
      <c r="FV7" s="1445"/>
      <c r="FW7" s="1445"/>
      <c r="GC7" s="1443">
        <v>10</v>
      </c>
    </row>
    <row s="60724" customFormat="1" customHeight="1" ht="11.25" hidden="1">
      <c r="B8" s="1446"/>
      <c r="F8" s="1568"/>
      <c r="G8" s="1275"/>
      <c r="H8" s="872"/>
      <c r="I8" s="872"/>
      <c r="J8" s="872"/>
      <c r="K8" s="872"/>
      <c r="L8" s="872"/>
      <c r="M8" s="1568"/>
      <c r="N8" s="1568"/>
      <c r="O8" s="2962" t="s">
        <v>1209</v>
      </c>
      <c r="P8" s="2963"/>
      <c r="Q8" s="2963"/>
      <c r="R8" s="2963"/>
      <c r="S8" s="2963"/>
      <c r="T8" s="2963"/>
      <c r="U8" s="2963"/>
      <c r="V8" s="2963"/>
      <c r="W8" s="2963"/>
      <c r="X8" s="2963"/>
      <c r="Y8" s="2963"/>
      <c r="Z8" s="2963"/>
      <c r="AA8" s="2963"/>
      <c r="AB8" s="2963"/>
      <c r="AC8" s="2963"/>
      <c r="AD8" s="2963"/>
      <c r="AE8" s="2963"/>
      <c r="AF8" s="2963"/>
      <c r="AG8" s="2963"/>
      <c r="AH8" s="2963"/>
      <c r="AI8" s="2963"/>
      <c r="AJ8" s="2963"/>
      <c r="AK8" s="2963"/>
      <c r="AL8" s="2963"/>
      <c r="AM8" s="2963"/>
      <c r="AN8" s="2963"/>
      <c r="AO8" s="2963"/>
      <c r="AP8" s="2963"/>
      <c r="AQ8" s="2963"/>
      <c r="AR8" s="2963"/>
      <c r="AS8" s="2963"/>
      <c r="AT8" s="2963"/>
      <c r="AU8" s="2963"/>
      <c r="AV8" s="2963"/>
      <c r="AW8" s="2963"/>
      <c r="AX8" s="2963"/>
      <c r="AY8" s="2963"/>
      <c r="AZ8" s="2963"/>
      <c r="BA8" s="2963"/>
      <c r="BB8" s="2963"/>
      <c r="BC8" s="2963"/>
      <c r="BD8" s="2963"/>
      <c r="BE8" s="2963"/>
      <c r="BF8" s="2963"/>
      <c r="BG8" s="2963"/>
      <c r="BH8" s="2963"/>
      <c r="BI8" s="2963"/>
      <c r="BJ8" s="2963"/>
      <c r="BK8" s="2963"/>
      <c r="BL8" s="2963"/>
      <c r="BM8" s="2963"/>
      <c r="BN8" s="2963"/>
      <c r="BO8" s="2963"/>
      <c r="BP8" s="2963"/>
      <c r="BQ8" s="2963"/>
      <c r="BR8" s="2963"/>
      <c r="BS8" s="2964"/>
      <c r="BT8" s="2951"/>
      <c r="BU8" s="2952"/>
      <c r="BV8" s="2952"/>
      <c r="BW8" s="2952"/>
      <c r="BX8" s="2952"/>
      <c r="BY8" s="2952"/>
      <c r="BZ8" s="2952"/>
      <c r="CA8" s="2952"/>
      <c r="CB8" s="2952"/>
      <c r="CC8" s="2952"/>
      <c r="CD8" s="2952"/>
      <c r="CE8" s="2952"/>
      <c r="CF8" s="2952"/>
      <c r="CG8" s="2952"/>
      <c r="CH8" s="2952"/>
      <c r="CI8" s="2952"/>
      <c r="CJ8" s="2952"/>
      <c r="CK8" s="2952"/>
      <c r="CL8" s="2952"/>
      <c r="CM8" s="2952"/>
      <c r="CN8" s="2952"/>
      <c r="CO8" s="2952"/>
      <c r="CP8" s="2952"/>
      <c r="CQ8" s="2952"/>
      <c r="CR8" s="2952"/>
      <c r="CS8" s="2952"/>
      <c r="CT8" s="2952"/>
      <c r="CU8" s="2952"/>
      <c r="CV8" s="2952"/>
      <c r="CW8" s="2952"/>
      <c r="CX8" s="2953"/>
      <c r="CY8" s="2954"/>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6"/>
      <c r="DY8" s="2957" t="s">
        <v>1210</v>
      </c>
      <c r="DZ8" s="2958"/>
      <c r="EA8" s="2958"/>
      <c r="EB8" s="2958"/>
      <c r="EC8" s="2958"/>
      <c r="ED8" s="2958"/>
      <c r="EE8" s="2958"/>
      <c r="EF8" s="2958"/>
      <c r="EG8" s="2958"/>
      <c r="EH8" s="2958"/>
      <c r="EI8" s="2958"/>
      <c r="EJ8" s="2958"/>
      <c r="EK8" s="2958"/>
      <c r="EL8" s="2958"/>
      <c r="EM8" s="2958"/>
      <c r="EN8" s="2958"/>
      <c r="EO8" s="2958"/>
      <c r="EP8" s="2958"/>
      <c r="EQ8" s="2958"/>
      <c r="ER8" s="2958"/>
      <c r="ES8" s="2958"/>
      <c r="ET8" s="2958"/>
      <c r="EU8" s="2958"/>
      <c r="EV8" s="2958"/>
      <c r="EW8" s="2958"/>
      <c r="EX8" s="2958"/>
      <c r="EY8" s="2958"/>
      <c r="EZ8" s="2958"/>
      <c r="FA8" s="2958"/>
      <c r="FB8" s="2958"/>
      <c r="FC8" s="2958"/>
      <c r="FD8" s="2958"/>
      <c r="FE8" s="2958"/>
      <c r="FF8" s="2958"/>
      <c r="FG8" s="2958"/>
      <c r="FH8" s="2958"/>
      <c r="FI8" s="2958"/>
      <c r="FJ8" s="2958"/>
      <c r="FK8" s="2958"/>
      <c r="FL8" s="2958"/>
      <c r="FM8" s="2958"/>
      <c r="FN8" s="2958"/>
      <c r="FO8" s="2958"/>
      <c r="FP8" s="2958"/>
      <c r="FQ8" s="2958"/>
      <c r="FR8" s="2958"/>
      <c r="FS8" s="2958"/>
      <c r="FT8" s="2958"/>
      <c r="FU8" s="2958"/>
      <c r="FV8" s="2958"/>
      <c r="FW8" s="2959"/>
      <c r="FX8" s="1568"/>
      <c r="GC8" s="1445">
        <v>0</v>
      </c>
    </row>
    <row s="60724" customFormat="1" customHeight="1" ht="11.25" hidden="1">
      <c r="B9" s="1446"/>
      <c r="F9" s="1568"/>
      <c r="G9" s="1275"/>
      <c r="H9" s="872"/>
      <c r="I9" s="872"/>
      <c r="J9" s="872"/>
      <c r="K9" s="872"/>
      <c r="L9" s="872"/>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2960"/>
      <c r="FX9" s="1568"/>
      <c r="GC9" s="1445">
        <v>0</v>
      </c>
    </row>
    <row s="60724" customFormat="1" customHeight="1" ht="11.549999999999999">
      <c r="B10" s="1446"/>
      <c r="F10" s="2941" t="s">
        <v>439</v>
      </c>
      <c r="G10" s="2942"/>
      <c r="H10" s="2942"/>
      <c r="I10" s="2942"/>
      <c r="J10" s="2942"/>
      <c r="K10" s="2942"/>
      <c r="L10" s="2942"/>
      <c r="M10" s="2942"/>
      <c r="N10" s="2942"/>
      <c r="O10" s="2942"/>
      <c r="P10" s="2942"/>
      <c r="Q10" s="2942"/>
      <c r="R10" s="2942"/>
      <c r="S10" s="2942"/>
      <c r="T10" s="2942"/>
      <c r="U10" s="2942"/>
      <c r="V10" s="2942"/>
      <c r="W10" s="2942"/>
      <c r="X10" s="2942"/>
      <c r="Y10" s="2942"/>
      <c r="Z10" s="2942"/>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3"/>
      <c r="FW10" s="2960"/>
      <c r="FX10" s="1568"/>
      <c r="GC10" s="1445">
        <v>11</v>
      </c>
    </row>
    <row customHeight="1" ht="12.75">
      <c r="E11" s="1449"/>
      <c r="F11" s="2717" t="s">
        <v>90</v>
      </c>
      <c r="G11" s="2717" t="s">
        <v>1211</v>
      </c>
      <c r="H11" s="2949" t="s">
        <v>1212</v>
      </c>
      <c r="I11" s="2949" t="s">
        <v>1213</v>
      </c>
      <c r="J11" s="2950"/>
      <c r="K11" s="2950"/>
      <c r="L11" s="2950"/>
      <c r="M11" s="2950"/>
      <c r="N11" s="2950"/>
      <c r="O11" s="2721" t="s">
        <v>1214</v>
      </c>
      <c r="P11" s="2721"/>
      <c r="Q11" s="2721"/>
      <c r="R11" s="2721"/>
      <c r="S11" s="2721"/>
      <c r="T11" s="2721"/>
      <c r="U11" s="2721"/>
      <c r="V11" s="2721"/>
      <c r="W11" s="2721"/>
      <c r="X11" s="2721"/>
      <c r="Y11" s="2721"/>
      <c r="Z11" s="2721"/>
      <c r="AA11" s="2721"/>
      <c r="AB11" s="2721"/>
      <c r="AC11" s="2946"/>
      <c r="AD11" s="2946"/>
      <c r="AE11" s="2946"/>
      <c r="AF11" s="2946"/>
      <c r="AG11" s="2946"/>
      <c r="AH11" s="2946"/>
      <c r="AI11" s="2946"/>
      <c r="AJ11" s="2946"/>
      <c r="AK11" s="2946"/>
      <c r="AL11" s="2946"/>
      <c r="AM11" s="2946"/>
      <c r="AN11" s="2946"/>
      <c r="AO11" s="2946"/>
      <c r="AP11" s="2946"/>
      <c r="AQ11" s="2946"/>
      <c r="AR11" s="2946"/>
      <c r="AS11" s="2946"/>
      <c r="AT11" s="2946"/>
      <c r="AU11" s="2946"/>
      <c r="AV11" s="2946"/>
      <c r="AW11" s="2946"/>
      <c r="AX11" s="2946"/>
      <c r="AY11" s="2946"/>
      <c r="AZ11" s="2946"/>
      <c r="BA11" s="2946"/>
      <c r="BB11" s="2946"/>
      <c r="BC11" s="2946"/>
      <c r="BD11" s="2946"/>
      <c r="BE11" s="2946"/>
      <c r="BF11" s="2946"/>
      <c r="BG11" s="2946"/>
      <c r="BH11" s="2946"/>
      <c r="BI11" s="2946"/>
      <c r="BJ11" s="2946"/>
      <c r="BK11" s="2946"/>
      <c r="BL11" s="2946"/>
      <c r="BM11" s="2946"/>
      <c r="BN11" s="2946"/>
      <c r="BO11" s="2946"/>
      <c r="BP11" s="2946"/>
      <c r="BQ11" s="2946"/>
      <c r="BR11" s="2946"/>
      <c r="BS11" s="2965"/>
      <c r="BT11" s="2898" t="s">
        <v>1214</v>
      </c>
      <c r="BU11" s="2899"/>
      <c r="BV11" s="2899"/>
      <c r="BW11" s="2899"/>
      <c r="BX11" s="2899"/>
      <c r="BY11" s="2899"/>
      <c r="BZ11" s="2899"/>
      <c r="CA11" s="2899"/>
      <c r="CB11" s="2899"/>
      <c r="CC11" s="2899"/>
      <c r="CD11" s="2899"/>
      <c r="CE11" s="2899"/>
      <c r="CF11" s="2899"/>
      <c r="CG11" s="2899"/>
      <c r="CH11" s="2899"/>
      <c r="CI11" s="2899"/>
      <c r="CJ11" s="2899"/>
      <c r="CK11" s="2945"/>
      <c r="CL11" s="2948"/>
      <c r="CM11" s="2946"/>
      <c r="CN11" s="2946"/>
      <c r="CO11" s="2946"/>
      <c r="CP11" s="2946"/>
      <c r="CQ11" s="2946"/>
      <c r="CR11" s="2946"/>
      <c r="CS11" s="2946"/>
      <c r="CT11" s="2946"/>
      <c r="CU11" s="2946"/>
      <c r="CV11" s="2946"/>
      <c r="CW11" s="2946"/>
      <c r="CX11" s="2965"/>
      <c r="CY11" s="2898" t="s">
        <v>1214</v>
      </c>
      <c r="CZ11" s="2899"/>
      <c r="DA11" s="2899"/>
      <c r="DB11" s="2899"/>
      <c r="DC11" s="2899"/>
      <c r="DD11" s="2899"/>
      <c r="DE11" s="2899"/>
      <c r="DF11" s="2899"/>
      <c r="DG11" s="2899"/>
      <c r="DH11" s="2899"/>
      <c r="DI11" s="2899"/>
      <c r="DJ11" s="2945"/>
      <c r="DK11" s="2948"/>
      <c r="DL11" s="2946"/>
      <c r="DM11" s="2946"/>
      <c r="DN11" s="2946"/>
      <c r="DO11" s="2946"/>
      <c r="DP11" s="2946"/>
      <c r="DQ11" s="2946"/>
      <c r="DR11" s="2946"/>
      <c r="DS11" s="2946"/>
      <c r="DT11" s="2946"/>
      <c r="DU11" s="2946"/>
      <c r="DV11" s="2946"/>
      <c r="DW11" s="2946"/>
      <c r="DX11" s="2946"/>
      <c r="DY11" s="2946"/>
      <c r="DZ11" s="2946"/>
      <c r="EA11" s="2946"/>
      <c r="EB11" s="2946"/>
      <c r="EC11" s="2946"/>
      <c r="ED11" s="2946"/>
      <c r="EE11" s="2946"/>
      <c r="EF11" s="2946"/>
      <c r="EG11" s="2946"/>
      <c r="EH11" s="2946"/>
      <c r="EI11" s="2946"/>
      <c r="EJ11" s="2946"/>
      <c r="EK11" s="2946"/>
      <c r="EL11" s="2946"/>
      <c r="EM11" s="2946"/>
      <c r="EN11" s="2946"/>
      <c r="EO11" s="2946"/>
      <c r="EP11" s="2946"/>
      <c r="EQ11" s="2946"/>
      <c r="ER11" s="2946"/>
      <c r="ES11" s="2946"/>
      <c r="ET11" s="2946"/>
      <c r="EU11" s="2946"/>
      <c r="EV11" s="2946"/>
      <c r="EW11" s="2946"/>
      <c r="EX11" s="2946"/>
      <c r="EY11" s="2946"/>
      <c r="EZ11" s="2946"/>
      <c r="FA11" s="2946"/>
      <c r="FB11" s="2946"/>
      <c r="FC11" s="2946"/>
      <c r="FD11" s="2946"/>
      <c r="FE11" s="2946"/>
      <c r="FF11" s="2946"/>
      <c r="FG11" s="2946"/>
      <c r="FH11" s="2946"/>
      <c r="FI11" s="2946"/>
      <c r="FJ11" s="2946"/>
      <c r="FK11" s="2946"/>
      <c r="FL11" s="2946"/>
      <c r="FM11" s="2946"/>
      <c r="FN11" s="2946"/>
      <c r="FO11" s="2946"/>
      <c r="FP11" s="2946"/>
      <c r="FQ11" s="2946"/>
      <c r="FR11" s="2946"/>
      <c r="FS11" s="2946"/>
      <c r="FT11" s="2946"/>
      <c r="FU11" s="2946"/>
      <c r="FV11" s="2946"/>
      <c r="FW11" s="2960"/>
      <c r="FX11" s="1274"/>
      <c r="GC11" s="1438">
        <v>12</v>
      </c>
    </row>
    <row customHeight="1" ht="12.75">
      <c r="D12" s="1450"/>
      <c r="E12" s="1449"/>
      <c r="F12" s="2717"/>
      <c r="G12" s="2717"/>
      <c r="H12" s="2949"/>
      <c r="I12" s="2949"/>
      <c r="J12" s="2950"/>
      <c r="K12" s="2950"/>
      <c r="L12" s="2950"/>
      <c r="M12" s="2950"/>
      <c r="N12" s="2950"/>
      <c r="O12" s="2721" t="s">
        <v>1215</v>
      </c>
      <c r="P12" s="2721"/>
      <c r="Q12" s="2721"/>
      <c r="R12" s="2721"/>
      <c r="S12" s="2721" t="s">
        <v>1216</v>
      </c>
      <c r="T12" s="2721"/>
      <c r="U12" s="2721"/>
      <c r="V12" s="2721"/>
      <c r="W12" s="2721"/>
      <c r="X12" s="2721"/>
      <c r="Y12" s="2721"/>
      <c r="Z12" s="2721"/>
      <c r="AA12" s="2721"/>
      <c r="AB12" s="2721"/>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65"/>
      <c r="BT12" s="2898" t="s">
        <v>1217</v>
      </c>
      <c r="BU12" s="2899"/>
      <c r="BV12" s="2899"/>
      <c r="BW12" s="2945"/>
      <c r="BX12" s="2898" t="s">
        <v>1218</v>
      </c>
      <c r="BY12" s="2899"/>
      <c r="BZ12" s="2899"/>
      <c r="CA12" s="2945"/>
      <c r="CB12" s="2898" t="s">
        <v>1219</v>
      </c>
      <c r="CC12" s="2945"/>
      <c r="CD12" s="2898" t="s">
        <v>1220</v>
      </c>
      <c r="CE12" s="2899"/>
      <c r="CF12" s="2899"/>
      <c r="CG12" s="2899"/>
      <c r="CH12" s="2899"/>
      <c r="CI12" s="2899"/>
      <c r="CJ12" s="2899"/>
      <c r="CK12" s="2945"/>
      <c r="CL12" s="2948"/>
      <c r="CM12" s="2946"/>
      <c r="CN12" s="2946"/>
      <c r="CO12" s="2946"/>
      <c r="CP12" s="2946"/>
      <c r="CQ12" s="2946"/>
      <c r="CR12" s="2946"/>
      <c r="CS12" s="2946"/>
      <c r="CT12" s="2946"/>
      <c r="CU12" s="2946"/>
      <c r="CV12" s="2946"/>
      <c r="CW12" s="2946"/>
      <c r="CX12" s="2965"/>
      <c r="CY12" s="2898" t="s">
        <v>1221</v>
      </c>
      <c r="CZ12" s="2899"/>
      <c r="DA12" s="2899"/>
      <c r="DB12" s="2899"/>
      <c r="DC12" s="2899"/>
      <c r="DD12" s="2945"/>
      <c r="DE12" s="2898" t="s">
        <v>1222</v>
      </c>
      <c r="DF12" s="2945"/>
      <c r="DG12" s="2898" t="s">
        <v>1220</v>
      </c>
      <c r="DH12" s="2899"/>
      <c r="DI12" s="2899"/>
      <c r="DJ12" s="2945"/>
      <c r="DK12" s="2948"/>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60"/>
      <c r="FX12" s="1274"/>
      <c r="GC12" s="1438">
        <v>12</v>
      </c>
    </row>
    <row customHeight="1" ht="37.8">
      <c r="D13" s="1450"/>
      <c r="E13" s="1449"/>
      <c r="F13" s="2717"/>
      <c r="G13" s="2717"/>
      <c r="H13" s="2949"/>
      <c r="I13" s="2949"/>
      <c r="J13" s="2950"/>
      <c r="K13" s="2950"/>
      <c r="L13" s="2950"/>
      <c r="M13" s="2950"/>
      <c r="N13" s="2950"/>
      <c r="O13" s="2721" t="s">
        <v>1223</v>
      </c>
      <c r="P13" s="2721"/>
      <c r="Q13" s="2721"/>
      <c r="R13" s="2721"/>
      <c r="S13" s="2848" t="s">
        <v>1224</v>
      </c>
      <c r="T13" s="2900"/>
      <c r="U13" s="2639" t="s">
        <v>1225</v>
      </c>
      <c r="V13" s="2639"/>
      <c r="W13" s="2639"/>
      <c r="X13" s="2639"/>
      <c r="Y13" s="2639" t="s">
        <v>1226</v>
      </c>
      <c r="Z13" s="2639"/>
      <c r="AA13" s="2639"/>
      <c r="AB13" s="2639"/>
      <c r="AC13" s="2946"/>
      <c r="AD13" s="2946"/>
      <c r="AE13" s="2946"/>
      <c r="AF13" s="2946"/>
      <c r="AG13" s="2946"/>
      <c r="AH13" s="2946"/>
      <c r="AI13" s="2946"/>
      <c r="AJ13" s="2946"/>
      <c r="AK13" s="2946"/>
      <c r="AL13" s="2946"/>
      <c r="AM13" s="2946"/>
      <c r="AN13" s="2946"/>
      <c r="AO13" s="2946"/>
      <c r="AP13" s="2946"/>
      <c r="AQ13" s="2946"/>
      <c r="AR13" s="2946"/>
      <c r="AS13" s="2946"/>
      <c r="AT13" s="2946"/>
      <c r="AU13" s="2946"/>
      <c r="AV13" s="2946"/>
      <c r="AW13" s="2946"/>
      <c r="AX13" s="2946"/>
      <c r="AY13" s="2946"/>
      <c r="AZ13" s="2946"/>
      <c r="BA13" s="2946"/>
      <c r="BB13" s="2946"/>
      <c r="BC13" s="2946"/>
      <c r="BD13" s="2946"/>
      <c r="BE13" s="2946"/>
      <c r="BF13" s="2946"/>
      <c r="BG13" s="2946"/>
      <c r="BH13" s="2946"/>
      <c r="BI13" s="2946"/>
      <c r="BJ13" s="2946"/>
      <c r="BK13" s="2946"/>
      <c r="BL13" s="2946"/>
      <c r="BM13" s="2946"/>
      <c r="BN13" s="2946"/>
      <c r="BO13" s="2946"/>
      <c r="BP13" s="2946"/>
      <c r="BQ13" s="2946"/>
      <c r="BR13" s="2946"/>
      <c r="BS13" s="2965"/>
      <c r="BT13" s="2848" t="s">
        <v>1227</v>
      </c>
      <c r="BU13" s="2900"/>
      <c r="BV13" s="2848" t="s">
        <v>1228</v>
      </c>
      <c r="BW13" s="2900"/>
      <c r="BX13" s="2848" t="s">
        <v>1229</v>
      </c>
      <c r="BY13" s="2900"/>
      <c r="BZ13" s="2848" t="s">
        <v>1230</v>
      </c>
      <c r="CA13" s="2900"/>
      <c r="CB13" s="2848" t="s">
        <v>1231</v>
      </c>
      <c r="CC13" s="2900"/>
      <c r="CD13" s="2848" t="s">
        <v>1232</v>
      </c>
      <c r="CE13" s="2900"/>
      <c r="CF13" s="2848" t="s">
        <v>1233</v>
      </c>
      <c r="CG13" s="2900"/>
      <c r="CH13" s="2898" t="s">
        <v>1234</v>
      </c>
      <c r="CI13" s="2899"/>
      <c r="CJ13" s="2899"/>
      <c r="CK13" s="2945"/>
      <c r="CL13" s="2948"/>
      <c r="CM13" s="2946"/>
      <c r="CN13" s="2946"/>
      <c r="CO13" s="2946"/>
      <c r="CP13" s="2946"/>
      <c r="CQ13" s="2946"/>
      <c r="CR13" s="2946"/>
      <c r="CS13" s="2946"/>
      <c r="CT13" s="2946"/>
      <c r="CU13" s="2946"/>
      <c r="CV13" s="2946"/>
      <c r="CW13" s="2946"/>
      <c r="CX13" s="2965"/>
      <c r="CY13" s="2848" t="s">
        <v>1235</v>
      </c>
      <c r="CZ13" s="2900"/>
      <c r="DA13" s="2848" t="s">
        <v>1236</v>
      </c>
      <c r="DB13" s="2900"/>
      <c r="DC13" s="2848" t="s">
        <v>1237</v>
      </c>
      <c r="DD13" s="2900"/>
      <c r="DE13" s="2848" t="s">
        <v>1238</v>
      </c>
      <c r="DF13" s="2900"/>
      <c r="DG13" s="2898" t="s">
        <v>1239</v>
      </c>
      <c r="DH13" s="2899"/>
      <c r="DI13" s="2899"/>
      <c r="DJ13" s="2945"/>
      <c r="DK13" s="2948"/>
      <c r="DL13" s="2946"/>
      <c r="DM13" s="2946"/>
      <c r="DN13" s="2946"/>
      <c r="DO13" s="2946"/>
      <c r="DP13" s="2946"/>
      <c r="DQ13" s="2946"/>
      <c r="DR13" s="2946"/>
      <c r="DS13" s="2946"/>
      <c r="DT13" s="2946"/>
      <c r="DU13" s="2946"/>
      <c r="DV13" s="2946"/>
      <c r="DW13" s="2946"/>
      <c r="DX13" s="2946"/>
      <c r="DY13" s="2946"/>
      <c r="DZ13" s="2946"/>
      <c r="EA13" s="2946"/>
      <c r="EB13" s="2946"/>
      <c r="EC13" s="2946"/>
      <c r="ED13" s="2946"/>
      <c r="EE13" s="2946"/>
      <c r="EF13" s="2946"/>
      <c r="EG13" s="2946"/>
      <c r="EH13" s="2946"/>
      <c r="EI13" s="2946"/>
      <c r="EJ13" s="2946"/>
      <c r="EK13" s="2946"/>
      <c r="EL13" s="2946"/>
      <c r="EM13" s="2946"/>
      <c r="EN13" s="2946"/>
      <c r="EO13" s="2946"/>
      <c r="EP13" s="2946"/>
      <c r="EQ13" s="2946"/>
      <c r="ER13" s="2946"/>
      <c r="ES13" s="2946"/>
      <c r="ET13" s="2946"/>
      <c r="EU13" s="2946"/>
      <c r="EV13" s="2946"/>
      <c r="EW13" s="2946"/>
      <c r="EX13" s="2946"/>
      <c r="EY13" s="2946"/>
      <c r="EZ13" s="2946"/>
      <c r="FA13" s="2946"/>
      <c r="FB13" s="2946"/>
      <c r="FC13" s="2946"/>
      <c r="FD13" s="2946"/>
      <c r="FE13" s="2946"/>
      <c r="FF13" s="2946"/>
      <c r="FG13" s="2946"/>
      <c r="FH13" s="2946"/>
      <c r="FI13" s="2946"/>
      <c r="FJ13" s="2946"/>
      <c r="FK13" s="2946"/>
      <c r="FL13" s="2946"/>
      <c r="FM13" s="2946"/>
      <c r="FN13" s="2946"/>
      <c r="FO13" s="2946"/>
      <c r="FP13" s="2946"/>
      <c r="FQ13" s="2946"/>
      <c r="FR13" s="2946"/>
      <c r="FS13" s="2946"/>
      <c r="FT13" s="2946"/>
      <c r="FU13" s="2946"/>
      <c r="FV13" s="2946"/>
      <c r="FW13" s="2960"/>
      <c r="FX13" s="1274"/>
      <c r="GC13" s="1438">
        <v>36</v>
      </c>
    </row>
    <row customHeight="1" ht="37.8">
      <c r="D14" s="1450"/>
      <c r="E14" s="1449"/>
      <c r="F14" s="2717"/>
      <c r="G14" s="2717"/>
      <c r="H14" s="2949"/>
      <c r="I14" s="2949"/>
      <c r="J14" s="2950"/>
      <c r="K14" s="2950"/>
      <c r="L14" s="2950"/>
      <c r="M14" s="2950"/>
      <c r="N14" s="2950"/>
      <c r="O14" s="2848" t="s">
        <v>1240</v>
      </c>
      <c r="P14" s="2900"/>
      <c r="Q14" s="2848" t="s">
        <v>1241</v>
      </c>
      <c r="R14" s="2900"/>
      <c r="S14" s="2849"/>
      <c r="T14" s="2725"/>
      <c r="U14" s="2848" t="s">
        <v>973</v>
      </c>
      <c r="V14" s="2900"/>
      <c r="W14" s="2848" t="s">
        <v>976</v>
      </c>
      <c r="X14" s="2900"/>
      <c r="Y14" s="2848" t="s">
        <v>973</v>
      </c>
      <c r="Z14" s="2900"/>
      <c r="AA14" s="2848" t="s">
        <v>983</v>
      </c>
      <c r="AB14" s="2900"/>
      <c r="AC14" s="2946"/>
      <c r="AD14" s="2946"/>
      <c r="AE14" s="2946"/>
      <c r="AF14" s="2946"/>
      <c r="AG14" s="2946"/>
      <c r="AH14" s="2946"/>
      <c r="AI14" s="2946"/>
      <c r="AJ14" s="2946"/>
      <c r="AK14" s="2946"/>
      <c r="AL14" s="2946"/>
      <c r="AM14" s="2946"/>
      <c r="AN14" s="2946"/>
      <c r="AO14" s="2946"/>
      <c r="AP14" s="2946"/>
      <c r="AQ14" s="2946"/>
      <c r="AR14" s="2946"/>
      <c r="AS14" s="2946"/>
      <c r="AT14" s="2946"/>
      <c r="AU14" s="2946"/>
      <c r="AV14" s="2946"/>
      <c r="AW14" s="2946"/>
      <c r="AX14" s="2946"/>
      <c r="AY14" s="2946"/>
      <c r="AZ14" s="2946"/>
      <c r="BA14" s="2946"/>
      <c r="BB14" s="2946"/>
      <c r="BC14" s="2946"/>
      <c r="BD14" s="2946"/>
      <c r="BE14" s="2946"/>
      <c r="BF14" s="2946"/>
      <c r="BG14" s="2946"/>
      <c r="BH14" s="2946"/>
      <c r="BI14" s="2946"/>
      <c r="BJ14" s="2946"/>
      <c r="BK14" s="2946"/>
      <c r="BL14" s="2946"/>
      <c r="BM14" s="2946"/>
      <c r="BN14" s="2946"/>
      <c r="BO14" s="2946"/>
      <c r="BP14" s="2946"/>
      <c r="BQ14" s="2946"/>
      <c r="BR14" s="2946"/>
      <c r="BS14" s="2965"/>
      <c r="BT14" s="2849"/>
      <c r="BU14" s="2725"/>
      <c r="BV14" s="2849"/>
      <c r="BW14" s="2725"/>
      <c r="BX14" s="2849"/>
      <c r="BY14" s="2725"/>
      <c r="BZ14" s="2849"/>
      <c r="CA14" s="2725"/>
      <c r="CB14" s="2849"/>
      <c r="CC14" s="2725"/>
      <c r="CD14" s="2849"/>
      <c r="CE14" s="2725"/>
      <c r="CF14" s="2849"/>
      <c r="CG14" s="2725"/>
      <c r="CH14" s="2848" t="s">
        <v>1242</v>
      </c>
      <c r="CI14" s="2900"/>
      <c r="CJ14" s="2848" t="s">
        <v>1243</v>
      </c>
      <c r="CK14" s="2900"/>
      <c r="CL14" s="2948"/>
      <c r="CM14" s="2946"/>
      <c r="CN14" s="2946"/>
      <c r="CO14" s="2946"/>
      <c r="CP14" s="2946"/>
      <c r="CQ14" s="2946"/>
      <c r="CR14" s="2946"/>
      <c r="CS14" s="2946"/>
      <c r="CT14" s="2946"/>
      <c r="CU14" s="2946"/>
      <c r="CV14" s="2946"/>
      <c r="CW14" s="2946"/>
      <c r="CX14" s="2965"/>
      <c r="CY14" s="2849"/>
      <c r="CZ14" s="2725"/>
      <c r="DA14" s="2849"/>
      <c r="DB14" s="2725"/>
      <c r="DC14" s="2849"/>
      <c r="DD14" s="2725"/>
      <c r="DE14" s="2849"/>
      <c r="DF14" s="2725"/>
      <c r="DG14" s="2848" t="s">
        <v>1244</v>
      </c>
      <c r="DH14" s="2900"/>
      <c r="DI14" s="2848" t="s">
        <v>1245</v>
      </c>
      <c r="DJ14" s="2900"/>
      <c r="DK14" s="2948"/>
      <c r="DL14" s="2946"/>
      <c r="DM14" s="2946"/>
      <c r="DN14" s="2946"/>
      <c r="DO14" s="2946"/>
      <c r="DP14" s="2946"/>
      <c r="DQ14" s="2946"/>
      <c r="DR14" s="2946"/>
      <c r="DS14" s="2946"/>
      <c r="DT14" s="2946"/>
      <c r="DU14" s="2946"/>
      <c r="DV14" s="2946"/>
      <c r="DW14" s="2946"/>
      <c r="DX14" s="2946"/>
      <c r="DY14" s="2946"/>
      <c r="DZ14" s="2946"/>
      <c r="EA14" s="2946"/>
      <c r="EB14" s="2946"/>
      <c r="EC14" s="2946"/>
      <c r="ED14" s="2946"/>
      <c r="EE14" s="2946"/>
      <c r="EF14" s="2946"/>
      <c r="EG14" s="2946"/>
      <c r="EH14" s="2946"/>
      <c r="EI14" s="2946"/>
      <c r="EJ14" s="2946"/>
      <c r="EK14" s="2946"/>
      <c r="EL14" s="2946"/>
      <c r="EM14" s="2946"/>
      <c r="EN14" s="2946"/>
      <c r="EO14" s="2946"/>
      <c r="EP14" s="2946"/>
      <c r="EQ14" s="2946"/>
      <c r="ER14" s="2946"/>
      <c r="ES14" s="2946"/>
      <c r="ET14" s="2946"/>
      <c r="EU14" s="2946"/>
      <c r="EV14" s="2946"/>
      <c r="EW14" s="2946"/>
      <c r="EX14" s="2946"/>
      <c r="EY14" s="2946"/>
      <c r="EZ14" s="2946"/>
      <c r="FA14" s="2946"/>
      <c r="FB14" s="2946"/>
      <c r="FC14" s="2946"/>
      <c r="FD14" s="2946"/>
      <c r="FE14" s="2946"/>
      <c r="FF14" s="2946"/>
      <c r="FG14" s="2946"/>
      <c r="FH14" s="2946"/>
      <c r="FI14" s="2946"/>
      <c r="FJ14" s="2946"/>
      <c r="FK14" s="2946"/>
      <c r="FL14" s="2946"/>
      <c r="FM14" s="2946"/>
      <c r="FN14" s="2946"/>
      <c r="FO14" s="2946"/>
      <c r="FP14" s="2946"/>
      <c r="FQ14" s="2946"/>
      <c r="FR14" s="2946"/>
      <c r="FS14" s="2946"/>
      <c r="FT14" s="2946"/>
      <c r="FU14" s="2946"/>
      <c r="FV14" s="2946"/>
      <c r="FW14" s="2960"/>
      <c r="FX14" s="1274"/>
      <c r="GC14" s="1438">
        <v>36</v>
      </c>
    </row>
    <row customHeight="1" ht="37.8">
      <c r="D15" s="1450"/>
      <c r="E15" s="1449"/>
      <c r="F15" s="2717"/>
      <c r="G15" s="2717"/>
      <c r="H15" s="2949"/>
      <c r="I15" s="2949"/>
      <c r="J15" s="2950"/>
      <c r="K15" s="2950"/>
      <c r="L15" s="2950"/>
      <c r="M15" s="2950"/>
      <c r="N15" s="2950"/>
      <c r="O15" s="2850"/>
      <c r="P15" s="2947"/>
      <c r="Q15" s="2850"/>
      <c r="R15" s="2947"/>
      <c r="S15" s="2850"/>
      <c r="T15" s="2947"/>
      <c r="U15" s="2850"/>
      <c r="V15" s="2947"/>
      <c r="W15" s="2850"/>
      <c r="X15" s="2947"/>
      <c r="Y15" s="2850"/>
      <c r="Z15" s="2947"/>
      <c r="AA15" s="2850"/>
      <c r="AB15" s="2947"/>
      <c r="AC15" s="2946"/>
      <c r="AD15" s="2946"/>
      <c r="AE15" s="2946"/>
      <c r="AF15" s="2946"/>
      <c r="AG15" s="2946"/>
      <c r="AH15" s="2946"/>
      <c r="AI15" s="2946"/>
      <c r="AJ15" s="2946"/>
      <c r="AK15" s="2946"/>
      <c r="AL15" s="2946"/>
      <c r="AM15" s="2946"/>
      <c r="AN15" s="2946"/>
      <c r="AO15" s="2946"/>
      <c r="AP15" s="2946"/>
      <c r="AQ15" s="2946"/>
      <c r="AR15" s="2946"/>
      <c r="AS15" s="2946"/>
      <c r="AT15" s="2946"/>
      <c r="AU15" s="2946"/>
      <c r="AV15" s="2946"/>
      <c r="AW15" s="2946"/>
      <c r="AX15" s="2946"/>
      <c r="AY15" s="2946"/>
      <c r="AZ15" s="2946"/>
      <c r="BA15" s="2946"/>
      <c r="BB15" s="2946"/>
      <c r="BC15" s="2946"/>
      <c r="BD15" s="2946"/>
      <c r="BE15" s="2946"/>
      <c r="BF15" s="2946"/>
      <c r="BG15" s="2946"/>
      <c r="BH15" s="2946"/>
      <c r="BI15" s="2946"/>
      <c r="BJ15" s="2946"/>
      <c r="BK15" s="2946"/>
      <c r="BL15" s="2946"/>
      <c r="BM15" s="2946"/>
      <c r="BN15" s="2946"/>
      <c r="BO15" s="2946"/>
      <c r="BP15" s="2946"/>
      <c r="BQ15" s="2946"/>
      <c r="BR15" s="2946"/>
      <c r="BS15" s="2965"/>
      <c r="BT15" s="2850"/>
      <c r="BU15" s="2947"/>
      <c r="BV15" s="2850"/>
      <c r="BW15" s="2947"/>
      <c r="BX15" s="2850"/>
      <c r="BY15" s="2947"/>
      <c r="BZ15" s="2850"/>
      <c r="CA15" s="2947"/>
      <c r="CB15" s="2850"/>
      <c r="CC15" s="2947"/>
      <c r="CD15" s="2850"/>
      <c r="CE15" s="2947"/>
      <c r="CF15" s="2850"/>
      <c r="CG15" s="2947"/>
      <c r="CH15" s="2850"/>
      <c r="CI15" s="2947"/>
      <c r="CJ15" s="2850"/>
      <c r="CK15" s="2947"/>
      <c r="CL15" s="2948"/>
      <c r="CM15" s="2946"/>
      <c r="CN15" s="2946"/>
      <c r="CO15" s="2946"/>
      <c r="CP15" s="2946"/>
      <c r="CQ15" s="2946"/>
      <c r="CR15" s="2946"/>
      <c r="CS15" s="2946"/>
      <c r="CT15" s="2946"/>
      <c r="CU15" s="2946"/>
      <c r="CV15" s="2946"/>
      <c r="CW15" s="2946"/>
      <c r="CX15" s="2965"/>
      <c r="CY15" s="2850"/>
      <c r="CZ15" s="2947"/>
      <c r="DA15" s="2850"/>
      <c r="DB15" s="2947"/>
      <c r="DC15" s="2850"/>
      <c r="DD15" s="2947"/>
      <c r="DE15" s="2850"/>
      <c r="DF15" s="2947"/>
      <c r="DG15" s="2850"/>
      <c r="DH15" s="2947"/>
      <c r="DI15" s="2850"/>
      <c r="DJ15" s="2947"/>
      <c r="DK15" s="2948"/>
      <c r="DL15" s="2946"/>
      <c r="DM15" s="2946"/>
      <c r="DN15" s="2946"/>
      <c r="DO15" s="2946"/>
      <c r="DP15" s="2946"/>
      <c r="DQ15" s="2946"/>
      <c r="DR15" s="2946"/>
      <c r="DS15" s="2946"/>
      <c r="DT15" s="2946"/>
      <c r="DU15" s="2946"/>
      <c r="DV15" s="2946"/>
      <c r="DW15" s="2946"/>
      <c r="DX15" s="2946"/>
      <c r="DY15" s="2946"/>
      <c r="DZ15" s="2946"/>
      <c r="EA15" s="2946"/>
      <c r="EB15" s="2946"/>
      <c r="EC15" s="2946"/>
      <c r="ED15" s="2946"/>
      <c r="EE15" s="2946"/>
      <c r="EF15" s="2946"/>
      <c r="EG15" s="2946"/>
      <c r="EH15" s="2946"/>
      <c r="EI15" s="2946"/>
      <c r="EJ15" s="2946"/>
      <c r="EK15" s="2946"/>
      <c r="EL15" s="2946"/>
      <c r="EM15" s="2946"/>
      <c r="EN15" s="2946"/>
      <c r="EO15" s="2946"/>
      <c r="EP15" s="2946"/>
      <c r="EQ15" s="2946"/>
      <c r="ER15" s="2946"/>
      <c r="ES15" s="2946"/>
      <c r="ET15" s="2946"/>
      <c r="EU15" s="2946"/>
      <c r="EV15" s="2946"/>
      <c r="EW15" s="2946"/>
      <c r="EX15" s="2946"/>
      <c r="EY15" s="2946"/>
      <c r="EZ15" s="2946"/>
      <c r="FA15" s="2946"/>
      <c r="FB15" s="2946"/>
      <c r="FC15" s="2946"/>
      <c r="FD15" s="2946"/>
      <c r="FE15" s="2946"/>
      <c r="FF15" s="2946"/>
      <c r="FG15" s="2946"/>
      <c r="FH15" s="2946"/>
      <c r="FI15" s="2946"/>
      <c r="FJ15" s="2946"/>
      <c r="FK15" s="2946"/>
      <c r="FL15" s="2946"/>
      <c r="FM15" s="2946"/>
      <c r="FN15" s="2946"/>
      <c r="FO15" s="2946"/>
      <c r="FP15" s="2946"/>
      <c r="FQ15" s="2946"/>
      <c r="FR15" s="2946"/>
      <c r="FS15" s="2946"/>
      <c r="FT15" s="2946"/>
      <c r="FU15" s="2946"/>
      <c r="FV15" s="2946"/>
      <c r="FW15" s="2960"/>
      <c r="FX15" s="1274"/>
      <c r="GC15" s="1438">
        <v>36</v>
      </c>
    </row>
    <row customHeight="1" ht="12.75">
      <c r="D16" s="1450"/>
      <c r="E16" s="1449"/>
      <c r="F16" s="2717"/>
      <c r="G16" s="2717"/>
      <c r="H16" s="2949"/>
      <c r="I16" s="2949"/>
      <c r="J16" s="2950"/>
      <c r="K16" s="2950"/>
      <c r="L16" s="2950"/>
      <c r="M16" s="2950"/>
      <c r="N16" s="2950"/>
      <c r="O16" s="2898" t="s">
        <v>963</v>
      </c>
      <c r="P16" s="2945"/>
      <c r="Q16" s="2898" t="s">
        <v>965</v>
      </c>
      <c r="R16" s="2945"/>
      <c r="S16" s="2898" t="s">
        <v>969</v>
      </c>
      <c r="T16" s="2945"/>
      <c r="U16" s="2898" t="s">
        <v>974</v>
      </c>
      <c r="V16" s="2945"/>
      <c r="W16" s="2898" t="s">
        <v>977</v>
      </c>
      <c r="X16" s="2945"/>
      <c r="Y16" s="2898" t="s">
        <v>981</v>
      </c>
      <c r="Z16" s="2945"/>
      <c r="AA16" s="2898" t="s">
        <v>984</v>
      </c>
      <c r="AB16" s="2945"/>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46"/>
      <c r="BN16" s="2946"/>
      <c r="BO16" s="2946"/>
      <c r="BP16" s="2946"/>
      <c r="BQ16" s="2946"/>
      <c r="BR16" s="2946"/>
      <c r="BS16" s="2965"/>
      <c r="BT16" s="2898" t="s">
        <v>696</v>
      </c>
      <c r="BU16" s="2945"/>
      <c r="BV16" s="2898" t="s">
        <v>696</v>
      </c>
      <c r="BW16" s="2945"/>
      <c r="BX16" s="2898" t="s">
        <v>696</v>
      </c>
      <c r="BY16" s="2945"/>
      <c r="BZ16" s="2898" t="s">
        <v>696</v>
      </c>
      <c r="CA16" s="2945"/>
      <c r="CB16" s="2898" t="s">
        <v>1246</v>
      </c>
      <c r="CC16" s="2945"/>
      <c r="CD16" s="2898" t="s">
        <v>696</v>
      </c>
      <c r="CE16" s="2945"/>
      <c r="CF16" s="2898" t="s">
        <v>1247</v>
      </c>
      <c r="CG16" s="2945"/>
      <c r="CH16" s="2898" t="s">
        <v>1248</v>
      </c>
      <c r="CI16" s="2945"/>
      <c r="CJ16" s="2898" t="s">
        <v>1248</v>
      </c>
      <c r="CK16" s="2945"/>
      <c r="CL16" s="2948"/>
      <c r="CM16" s="2946"/>
      <c r="CN16" s="2946"/>
      <c r="CO16" s="2946"/>
      <c r="CP16" s="2946"/>
      <c r="CQ16" s="2946"/>
      <c r="CR16" s="2946"/>
      <c r="CS16" s="2946"/>
      <c r="CT16" s="2946"/>
      <c r="CU16" s="2946"/>
      <c r="CV16" s="2946"/>
      <c r="CW16" s="2946"/>
      <c r="CX16" s="2965"/>
      <c r="CY16" s="2848" t="s">
        <v>696</v>
      </c>
      <c r="CZ16" s="2900"/>
      <c r="DA16" s="2848" t="s">
        <v>696</v>
      </c>
      <c r="DB16" s="2900"/>
      <c r="DC16" s="2848" t="s">
        <v>696</v>
      </c>
      <c r="DD16" s="2900"/>
      <c r="DE16" s="2898" t="s">
        <v>1246</v>
      </c>
      <c r="DF16" s="2945"/>
      <c r="DG16" s="2898" t="s">
        <v>1249</v>
      </c>
      <c r="DH16" s="2945"/>
      <c r="DI16" s="2898" t="s">
        <v>1249</v>
      </c>
      <c r="DJ16" s="2945"/>
      <c r="DK16" s="2948"/>
      <c r="DL16" s="2946"/>
      <c r="DM16" s="2946"/>
      <c r="DN16" s="2946"/>
      <c r="DO16" s="2946"/>
      <c r="DP16" s="2946"/>
      <c r="DQ16" s="2946"/>
      <c r="DR16" s="2946"/>
      <c r="DS16" s="2946"/>
      <c r="DT16" s="2946"/>
      <c r="DU16" s="2946"/>
      <c r="DV16" s="2946"/>
      <c r="DW16" s="2946"/>
      <c r="DX16" s="2946"/>
      <c r="DY16" s="2946"/>
      <c r="DZ16" s="2946"/>
      <c r="EA16" s="2946"/>
      <c r="EB16" s="2946"/>
      <c r="EC16" s="2946"/>
      <c r="ED16" s="2946"/>
      <c r="EE16" s="2946"/>
      <c r="EF16" s="2946"/>
      <c r="EG16" s="2946"/>
      <c r="EH16" s="2946"/>
      <c r="EI16" s="2946"/>
      <c r="EJ16" s="2946"/>
      <c r="EK16" s="2946"/>
      <c r="EL16" s="2946"/>
      <c r="EM16" s="2946"/>
      <c r="EN16" s="2946"/>
      <c r="EO16" s="2946"/>
      <c r="EP16" s="2946"/>
      <c r="EQ16" s="2946"/>
      <c r="ER16" s="2946"/>
      <c r="ES16" s="2946"/>
      <c r="ET16" s="2946"/>
      <c r="EU16" s="2946"/>
      <c r="EV16" s="2946"/>
      <c r="EW16" s="2946"/>
      <c r="EX16" s="2946"/>
      <c r="EY16" s="2946"/>
      <c r="EZ16" s="2946"/>
      <c r="FA16" s="2946"/>
      <c r="FB16" s="2946"/>
      <c r="FC16" s="2946"/>
      <c r="FD16" s="2946"/>
      <c r="FE16" s="2946"/>
      <c r="FF16" s="2946"/>
      <c r="FG16" s="2946"/>
      <c r="FH16" s="2946"/>
      <c r="FI16" s="2946"/>
      <c r="FJ16" s="2946"/>
      <c r="FK16" s="2946"/>
      <c r="FL16" s="2946"/>
      <c r="FM16" s="2946"/>
      <c r="FN16" s="2946"/>
      <c r="FO16" s="2946"/>
      <c r="FP16" s="2946"/>
      <c r="FQ16" s="2946"/>
      <c r="FR16" s="2946"/>
      <c r="FS16" s="2946"/>
      <c r="FT16" s="2946"/>
      <c r="FU16" s="2946"/>
      <c r="FV16" s="2946"/>
      <c r="FW16" s="2960"/>
      <c r="FX16" s="1274"/>
      <c r="GC16" s="1438">
        <v>12</v>
      </c>
    </row>
    <row customHeight="1" ht="15.75">
      <c r="E17" s="1449"/>
      <c r="F17" s="2717"/>
      <c r="G17" s="2717"/>
      <c r="H17" s="2949"/>
      <c r="I17" s="2949"/>
      <c r="J17" s="2950"/>
      <c r="K17" s="2950"/>
      <c r="L17" s="2950"/>
      <c r="M17" s="2950"/>
      <c r="N17" s="2950"/>
      <c r="O17" s="1703" t="s">
        <v>1250</v>
      </c>
      <c r="P17" s="1703" t="s">
        <v>1251</v>
      </c>
      <c r="Q17" s="1703" t="s">
        <v>1250</v>
      </c>
      <c r="R17" s="1703" t="s">
        <v>1251</v>
      </c>
      <c r="S17" s="1703" t="s">
        <v>1250</v>
      </c>
      <c r="T17" s="1703" t="s">
        <v>1251</v>
      </c>
      <c r="U17" s="1703" t="s">
        <v>1250</v>
      </c>
      <c r="V17" s="1703" t="s">
        <v>1251</v>
      </c>
      <c r="W17" s="1703" t="s">
        <v>1250</v>
      </c>
      <c r="X17" s="1703" t="s">
        <v>1251</v>
      </c>
      <c r="Y17" s="1703" t="s">
        <v>1250</v>
      </c>
      <c r="Z17" s="1703" t="s">
        <v>1251</v>
      </c>
      <c r="AA17" s="1703" t="s">
        <v>1250</v>
      </c>
      <c r="AB17" s="1703" t="s">
        <v>1251</v>
      </c>
      <c r="AC17" s="2946"/>
      <c r="AD17" s="2946"/>
      <c r="AE17" s="2946"/>
      <c r="AF17" s="2946"/>
      <c r="AG17" s="2946"/>
      <c r="AH17" s="2946"/>
      <c r="AI17" s="2946"/>
      <c r="AJ17" s="2946"/>
      <c r="AK17" s="2946"/>
      <c r="AL17" s="2946"/>
      <c r="AM17" s="2946"/>
      <c r="AN17" s="2946"/>
      <c r="AO17" s="2946"/>
      <c r="AP17" s="2946"/>
      <c r="AQ17" s="2946"/>
      <c r="AR17" s="2946"/>
      <c r="AS17" s="2946"/>
      <c r="AT17" s="2946"/>
      <c r="AU17" s="2946"/>
      <c r="AV17" s="2946"/>
      <c r="AW17" s="2946"/>
      <c r="AX17" s="2946"/>
      <c r="AY17" s="2946"/>
      <c r="AZ17" s="2946"/>
      <c r="BA17" s="2946"/>
      <c r="BB17" s="2946"/>
      <c r="BC17" s="2946"/>
      <c r="BD17" s="2946"/>
      <c r="BE17" s="2946"/>
      <c r="BF17" s="2946"/>
      <c r="BG17" s="2946"/>
      <c r="BH17" s="2946"/>
      <c r="BI17" s="2946"/>
      <c r="BJ17" s="2946"/>
      <c r="BK17" s="2946"/>
      <c r="BL17" s="2946"/>
      <c r="BM17" s="2946"/>
      <c r="BN17" s="2946"/>
      <c r="BO17" s="2946"/>
      <c r="BP17" s="2946"/>
      <c r="BQ17" s="2946"/>
      <c r="BR17" s="2946"/>
      <c r="BS17" s="2965"/>
      <c r="BT17" s="1703" t="s">
        <v>1250</v>
      </c>
      <c r="BU17" s="1703" t="s">
        <v>1251</v>
      </c>
      <c r="BV17" s="1703" t="s">
        <v>1250</v>
      </c>
      <c r="BW17" s="1703" t="s">
        <v>1251</v>
      </c>
      <c r="BX17" s="1703" t="s">
        <v>1250</v>
      </c>
      <c r="BY17" s="1703" t="s">
        <v>1251</v>
      </c>
      <c r="BZ17" s="1703" t="s">
        <v>1250</v>
      </c>
      <c r="CA17" s="1703" t="s">
        <v>1251</v>
      </c>
      <c r="CB17" s="1703" t="s">
        <v>1250</v>
      </c>
      <c r="CC17" s="1703" t="s">
        <v>1251</v>
      </c>
      <c r="CD17" s="1703" t="s">
        <v>1250</v>
      </c>
      <c r="CE17" s="1703" t="s">
        <v>1251</v>
      </c>
      <c r="CF17" s="1703" t="s">
        <v>1250</v>
      </c>
      <c r="CG17" s="1703" t="s">
        <v>1251</v>
      </c>
      <c r="CH17" s="1703" t="s">
        <v>1250</v>
      </c>
      <c r="CI17" s="1703" t="s">
        <v>1251</v>
      </c>
      <c r="CJ17" s="1703" t="s">
        <v>1250</v>
      </c>
      <c r="CK17" s="1703" t="s">
        <v>1251</v>
      </c>
      <c r="CL17" s="2948"/>
      <c r="CM17" s="2946"/>
      <c r="CN17" s="2946"/>
      <c r="CO17" s="2946"/>
      <c r="CP17" s="2946"/>
      <c r="CQ17" s="2946"/>
      <c r="CR17" s="2946"/>
      <c r="CS17" s="2946"/>
      <c r="CT17" s="2946"/>
      <c r="CU17" s="2946"/>
      <c r="CV17" s="2946"/>
      <c r="CW17" s="2946"/>
      <c r="CX17" s="2965"/>
      <c r="CY17" s="1703" t="s">
        <v>1250</v>
      </c>
      <c r="CZ17" s="1703" t="s">
        <v>1251</v>
      </c>
      <c r="DA17" s="1703" t="s">
        <v>1250</v>
      </c>
      <c r="DB17" s="1703" t="s">
        <v>1251</v>
      </c>
      <c r="DC17" s="1703" t="s">
        <v>1250</v>
      </c>
      <c r="DD17" s="1703" t="s">
        <v>1251</v>
      </c>
      <c r="DE17" s="1703" t="s">
        <v>1250</v>
      </c>
      <c r="DF17" s="1703" t="s">
        <v>1251</v>
      </c>
      <c r="DG17" s="1703" t="s">
        <v>1250</v>
      </c>
      <c r="DH17" s="1703" t="s">
        <v>1251</v>
      </c>
      <c r="DI17" s="1703" t="s">
        <v>1250</v>
      </c>
      <c r="DJ17" s="1703" t="s">
        <v>1251</v>
      </c>
      <c r="DK17" s="2948"/>
      <c r="DL17" s="2946"/>
      <c r="DM17" s="2946"/>
      <c r="DN17" s="2946"/>
      <c r="DO17" s="2946"/>
      <c r="DP17" s="2946"/>
      <c r="DQ17" s="2946"/>
      <c r="DR17" s="2946"/>
      <c r="DS17" s="2946"/>
      <c r="DT17" s="2946"/>
      <c r="DU17" s="2946"/>
      <c r="DV17" s="2946"/>
      <c r="DW17" s="2946"/>
      <c r="DX17" s="2946"/>
      <c r="DY17" s="2946"/>
      <c r="DZ17" s="2946"/>
      <c r="EA17" s="2946"/>
      <c r="EB17" s="2946"/>
      <c r="EC17" s="2946"/>
      <c r="ED17" s="2946"/>
      <c r="EE17" s="2946"/>
      <c r="EF17" s="2946"/>
      <c r="EG17" s="2946"/>
      <c r="EH17" s="2946"/>
      <c r="EI17" s="2946"/>
      <c r="EJ17" s="2946"/>
      <c r="EK17" s="2946"/>
      <c r="EL17" s="2946"/>
      <c r="EM17" s="2946"/>
      <c r="EN17" s="2946"/>
      <c r="EO17" s="2946"/>
      <c r="EP17" s="2946"/>
      <c r="EQ17" s="2946"/>
      <c r="ER17" s="2946"/>
      <c r="ES17" s="2946"/>
      <c r="ET17" s="2946"/>
      <c r="EU17" s="2946"/>
      <c r="EV17" s="2946"/>
      <c r="EW17" s="2946"/>
      <c r="EX17" s="2946"/>
      <c r="EY17" s="2946"/>
      <c r="EZ17" s="2946"/>
      <c r="FA17" s="2946"/>
      <c r="FB17" s="2946"/>
      <c r="FC17" s="2946"/>
      <c r="FD17" s="2946"/>
      <c r="FE17" s="2946"/>
      <c r="FF17" s="2946"/>
      <c r="FG17" s="2946"/>
      <c r="FH17" s="2946"/>
      <c r="FI17" s="2946"/>
      <c r="FJ17" s="2946"/>
      <c r="FK17" s="2946"/>
      <c r="FL17" s="2946"/>
      <c r="FM17" s="2946"/>
      <c r="FN17" s="2946"/>
      <c r="FO17" s="2946"/>
      <c r="FP17" s="2946"/>
      <c r="FQ17" s="2946"/>
      <c r="FR17" s="2946"/>
      <c r="FS17" s="2946"/>
      <c r="FT17" s="2946"/>
      <c r="FU17" s="2946"/>
      <c r="FV17" s="2946"/>
      <c r="FW17" s="2961"/>
      <c r="FX17" s="1274"/>
      <c r="GC17" s="1438">
        <v>15</v>
      </c>
    </row>
    <row s="60705" customFormat="1" customHeight="1" ht="12" hidden="1">
      <c r="B18" s="1435"/>
      <c r="E18" s="1451"/>
      <c r="F18" s="1704"/>
      <c r="G18" s="1704"/>
      <c r="H18" s="1704"/>
      <c r="I18" s="1704"/>
      <c r="J18" s="1705"/>
      <c r="K18" s="1705"/>
      <c r="L18" s="1705"/>
      <c r="M18" s="1705"/>
      <c r="N18" s="1705"/>
      <c r="O18" s="1704"/>
      <c r="P18" s="1704"/>
      <c r="Q18" s="1704"/>
      <c r="R18" s="1704"/>
      <c r="S18" s="1704"/>
      <c r="T18" s="1704"/>
      <c r="U18" s="1706"/>
      <c r="V18" s="1706"/>
      <c r="W18" s="1706"/>
      <c r="X18" s="1706"/>
      <c r="Y18" s="1706"/>
      <c r="Z18" s="1706"/>
      <c r="AA18" s="1706"/>
      <c r="AB18" s="1704"/>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c r="BG18" s="1705"/>
      <c r="BH18" s="1705"/>
      <c r="BI18" s="1705"/>
      <c r="BJ18" s="1705"/>
      <c r="BK18" s="1705"/>
      <c r="BL18" s="1705"/>
      <c r="BM18" s="1705"/>
      <c r="BN18" s="1705"/>
      <c r="BO18" s="1705"/>
      <c r="BP18" s="1705"/>
      <c r="BQ18" s="1705"/>
      <c r="BR18" s="1705"/>
      <c r="BS18" s="1705"/>
      <c r="BT18" s="1707"/>
      <c r="BU18" s="1707"/>
      <c r="BV18" s="1707"/>
      <c r="BW18" s="1707"/>
      <c r="BX18" s="1707"/>
      <c r="BY18" s="1707"/>
      <c r="BZ18" s="1707"/>
      <c r="CA18" s="1707"/>
      <c r="CB18" s="1707"/>
      <c r="CC18" s="1707"/>
      <c r="CD18" s="1707"/>
      <c r="CE18" s="1707"/>
      <c r="CF18" s="1707"/>
      <c r="CG18" s="1707"/>
      <c r="CH18" s="1707"/>
      <c r="CI18" s="1707"/>
      <c r="CJ18" s="1707"/>
      <c r="CK18" s="1707"/>
      <c r="CL18" s="1705"/>
      <c r="CM18" s="1705"/>
      <c r="CN18" s="1705"/>
      <c r="CO18" s="1705"/>
      <c r="CP18" s="1705"/>
      <c r="CQ18" s="1705"/>
      <c r="CR18" s="1705"/>
      <c r="CS18" s="1705"/>
      <c r="CT18" s="1705"/>
      <c r="CU18" s="1705"/>
      <c r="CV18" s="1705"/>
      <c r="CW18" s="1705"/>
      <c r="CX18" s="1705"/>
      <c r="CY18" s="1707"/>
      <c r="CZ18" s="1707"/>
      <c r="DA18" s="1707"/>
      <c r="DB18" s="1707"/>
      <c r="DC18" s="1707"/>
      <c r="DD18" s="1707"/>
      <c r="DE18" s="1707"/>
      <c r="DF18" s="1707"/>
      <c r="DG18" s="1707"/>
      <c r="DH18" s="1707"/>
      <c r="DI18" s="1707"/>
      <c r="DJ18" s="1707"/>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4"/>
      <c r="FX18" s="1708"/>
      <c r="GC18" s="1436">
        <v>0</v>
      </c>
    </row>
    <row s="60705" customFormat="1" customHeight="1" ht="11.25" hidden="1">
      <c r="B19" s="1435"/>
      <c r="E19" s="1451"/>
      <c r="F19" s="1704"/>
      <c r="G19" s="1704"/>
      <c r="H19" s="1704"/>
      <c r="I19" s="1704"/>
      <c r="J19" s="1704"/>
      <c r="K19" s="1704"/>
      <c r="L19" s="1704"/>
      <c r="M19" s="1704"/>
      <c r="N19" s="1704"/>
      <c r="O19" s="1704"/>
      <c r="P19" s="1704"/>
      <c r="Q19" s="1704"/>
      <c r="R19" s="1704"/>
      <c r="S19" s="1704"/>
      <c r="T19" s="1704"/>
      <c r="U19" s="1706"/>
      <c r="V19" s="1706"/>
      <c r="W19" s="1706"/>
      <c r="X19" s="1706"/>
      <c r="Y19" s="1706"/>
      <c r="Z19" s="1706"/>
      <c r="AA19" s="1706"/>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8"/>
      <c r="GC19" s="1436">
        <v>0</v>
      </c>
    </row>
    <row s="60705" customFormat="1" customHeight="1" ht="11.25" hidden="1">
      <c r="B20" s="1452"/>
      <c r="D20" s="1436"/>
      <c r="E20" s="1451"/>
      <c r="F20" s="1709" t="s">
        <v>515</v>
      </c>
      <c r="G20" s="1710"/>
      <c r="H20" s="1711"/>
      <c r="I20" s="1711"/>
      <c r="J20" s="1711"/>
      <c r="K20" s="1711"/>
      <c r="L20" s="1711"/>
      <c r="M20" s="1711"/>
      <c r="N20" s="1711"/>
      <c r="O20" s="1710"/>
      <c r="P20" s="1710"/>
      <c r="Q20" s="1710"/>
      <c r="R20" s="1710"/>
      <c r="S20" s="1710"/>
      <c r="T20" s="1710"/>
      <c r="U20" s="1712"/>
      <c r="V20" s="1712"/>
      <c r="W20" s="1712"/>
      <c r="X20" s="1712"/>
      <c r="Y20" s="1712"/>
      <c r="Z20" s="1712"/>
      <c r="AA20" s="1712"/>
      <c r="AB20" s="1710"/>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11"/>
      <c r="CF20" s="1711"/>
      <c r="CG20" s="1711"/>
      <c r="CH20" s="1711"/>
      <c r="CI20" s="1711"/>
      <c r="CJ20" s="1711"/>
      <c r="CK20" s="1711"/>
      <c r="CL20" s="1713"/>
      <c r="CM20" s="1713"/>
      <c r="CN20" s="1713"/>
      <c r="CO20" s="1713"/>
      <c r="CP20" s="1713"/>
      <c r="CQ20" s="1713"/>
      <c r="CR20" s="1713"/>
      <c r="CS20" s="1713"/>
      <c r="CT20" s="1713"/>
      <c r="CU20" s="1713"/>
      <c r="CV20" s="1713"/>
      <c r="CW20" s="1713"/>
      <c r="CX20" s="1713"/>
      <c r="CY20" s="1713"/>
      <c r="CZ20" s="1713"/>
      <c r="DA20" s="1713"/>
      <c r="DB20" s="1713"/>
      <c r="DC20" s="1713"/>
      <c r="DD20" s="1713"/>
      <c r="DE20" s="1713"/>
      <c r="DF20" s="1713"/>
      <c r="DG20" s="1713"/>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4"/>
      <c r="GC20" s="1434">
        <v>0</v>
      </c>
    </row>
    <row s="60705" customFormat="1" customHeight="1" ht="12.75">
      <c r="A21" s="1453"/>
      <c r="B21" s="1453"/>
      <c r="C21" s="1453"/>
      <c r="D21" s="1453"/>
      <c r="E21" s="1453"/>
      <c r="F21" s="1451"/>
      <c r="G21" s="1451"/>
      <c r="H21" s="1451"/>
      <c r="I21" s="1451"/>
      <c r="J21" s="1451"/>
      <c r="K21" s="1451"/>
      <c r="L21" s="1451"/>
      <c r="M21" s="1451"/>
      <c r="N21" s="1451"/>
      <c r="O21" s="1451"/>
      <c r="P21" s="1451"/>
      <c r="Q21" s="1451"/>
      <c r="R21" s="1451"/>
      <c r="S21" s="1454"/>
      <c r="T21" s="1454"/>
      <c r="U21" s="1451"/>
      <c r="V21" s="1451"/>
      <c r="W21" s="1451"/>
      <c r="X21" s="1451"/>
      <c r="Y21" s="1451"/>
      <c r="Z21" s="1451"/>
      <c r="AA21" s="1451"/>
      <c r="AB21" s="1451"/>
      <c r="AC21" s="1451"/>
      <c r="AD21" s="1451"/>
      <c r="AE21" s="1451"/>
      <c r="AF21" s="1451"/>
      <c r="AG21" s="1451"/>
      <c r="AH21" s="1451"/>
      <c r="AI21" s="1451"/>
      <c r="AJ21" s="1451"/>
      <c r="AK21" s="1451"/>
      <c r="AL21" s="1451"/>
      <c r="AM21" s="1451"/>
      <c r="AN21" s="1451"/>
      <c r="AO21" s="1451"/>
      <c r="AP21" s="1451"/>
      <c r="AQ21" s="1451"/>
      <c r="AR21" s="1451"/>
      <c r="AS21" s="1451"/>
      <c r="AT21" s="1451"/>
      <c r="AU21" s="1451"/>
      <c r="AV21" s="1451"/>
      <c r="AW21" s="1451"/>
      <c r="AX21" s="1451"/>
      <c r="AY21" s="1451"/>
      <c r="AZ21" s="1451"/>
      <c r="BA21" s="1451"/>
      <c r="BB21" s="1451"/>
      <c r="BC21" s="1451"/>
      <c r="BD21" s="1451"/>
      <c r="BE21" s="1451"/>
      <c r="BF21" s="1451"/>
      <c r="BG21" s="1451"/>
      <c r="BH21" s="1451"/>
      <c r="BI21" s="1451"/>
      <c r="BJ21" s="1451"/>
      <c r="BK21" s="1451"/>
      <c r="BL21" s="1451"/>
      <c r="BM21" s="1451"/>
      <c r="BN21" s="1451"/>
      <c r="BO21" s="1451"/>
      <c r="BP21" s="1451"/>
      <c r="BQ21" s="1451"/>
      <c r="BR21" s="1451"/>
      <c r="BS21" s="1451"/>
      <c r="BT21" s="1451"/>
      <c r="BU21" s="1451"/>
      <c r="BV21" s="1451"/>
      <c r="BW21" s="1451"/>
      <c r="BX21" s="1451"/>
      <c r="BY21" s="1451"/>
      <c r="BZ21" s="1451"/>
      <c r="CA21" s="1451"/>
      <c r="CB21" s="1451"/>
      <c r="CC21" s="1451"/>
      <c r="CD21" s="1451"/>
      <c r="CE21" s="1451"/>
      <c r="CF21" s="1451"/>
      <c r="CG21" s="1451"/>
      <c r="CH21" s="1451"/>
      <c r="CI21" s="1451"/>
      <c r="CJ21" s="1451"/>
      <c r="CK21" s="1451"/>
      <c r="CL21" s="1451"/>
      <c r="CM21" s="1451"/>
      <c r="CN21" s="1451"/>
      <c r="CO21" s="1451"/>
      <c r="CP21" s="1451"/>
      <c r="CQ21" s="1451"/>
      <c r="CR21" s="1451"/>
      <c r="CS21" s="1451"/>
      <c r="CT21" s="1451"/>
      <c r="CU21" s="1451"/>
      <c r="CV21" s="1451"/>
      <c r="CW21" s="1451"/>
      <c r="CX21" s="1451"/>
      <c r="CY21" s="1451"/>
      <c r="CZ21" s="1451"/>
      <c r="DA21" s="1451"/>
      <c r="DB21" s="1451"/>
      <c r="DC21" s="1451"/>
      <c r="DD21" s="1451"/>
      <c r="DE21" s="1451"/>
      <c r="DF21" s="1451"/>
      <c r="DG21" s="1451"/>
      <c r="DH21" s="1451"/>
      <c r="DI21" s="1451"/>
      <c r="DJ21" s="1451"/>
      <c r="DK21" s="1451"/>
      <c r="DL21" s="1451"/>
      <c r="DM21" s="1451"/>
      <c r="DN21" s="1451"/>
      <c r="DO21" s="1451"/>
      <c r="DP21" s="1451"/>
      <c r="DQ21" s="1451"/>
      <c r="DR21" s="1451"/>
      <c r="DS21" s="1451"/>
      <c r="DT21" s="1451"/>
      <c r="DU21" s="1451"/>
      <c r="DV21" s="1451"/>
      <c r="DW21" s="1451"/>
      <c r="DX21" s="1451"/>
      <c r="DY21" s="1451"/>
      <c r="DZ21" s="1451"/>
      <c r="EA21" s="1451"/>
      <c r="EB21" s="1451"/>
      <c r="EC21" s="1451"/>
      <c r="ED21" s="1451"/>
      <c r="EE21" s="1451"/>
      <c r="EF21" s="1451"/>
      <c r="EG21" s="1451"/>
      <c r="EH21" s="1451"/>
      <c r="EI21" s="1451"/>
      <c r="EJ21" s="1451"/>
      <c r="EK21" s="1451"/>
      <c r="EL21" s="1451"/>
      <c r="EM21" s="1451"/>
      <c r="EN21" s="1451"/>
      <c r="EO21" s="1451"/>
      <c r="EP21" s="1451"/>
      <c r="EQ21" s="1451"/>
      <c r="ER21" s="1451"/>
      <c r="ES21" s="1451"/>
      <c r="ET21" s="1451"/>
      <c r="EU21" s="1451"/>
      <c r="EV21" s="1451"/>
      <c r="EW21" s="1451"/>
      <c r="EX21" s="1451"/>
      <c r="EY21" s="1451"/>
      <c r="EZ21" s="1451"/>
      <c r="FA21" s="1451"/>
      <c r="FB21" s="1451"/>
      <c r="FC21" s="1451"/>
      <c r="FD21" s="1451"/>
      <c r="FE21" s="1451"/>
      <c r="FF21" s="1451"/>
      <c r="FG21" s="1451"/>
      <c r="FH21" s="1451"/>
      <c r="FI21" s="1451"/>
      <c r="FJ21" s="1451"/>
      <c r="FK21" s="1451"/>
      <c r="FL21" s="1451"/>
      <c r="FM21" s="1451"/>
      <c r="FN21" s="1451"/>
      <c r="FO21" s="1451"/>
      <c r="FP21" s="1451"/>
      <c r="FQ21" s="1451"/>
      <c r="FR21" s="1451"/>
      <c r="FS21" s="1451"/>
      <c r="FT21" s="1451"/>
      <c r="FU21" s="1451"/>
      <c r="FV21" s="1451"/>
      <c r="FW21" s="1451"/>
      <c r="FX21" s="1453"/>
      <c r="FY21" s="1453"/>
      <c r="FZ21" s="1453"/>
      <c r="GA21" s="1453"/>
      <c r="GB21" s="1453"/>
      <c r="GC21" s="1434">
        <v>12</v>
      </c>
    </row>
    <row s="60705" customFormat="1" customHeight="1" ht="12.75">
      <c r="A22" s="1453"/>
      <c r="B22" s="1453"/>
      <c r="C22" s="1453"/>
      <c r="D22" s="1453"/>
      <c r="E22" s="1453"/>
      <c r="FX22" s="1453"/>
      <c r="FY22" s="1453"/>
      <c r="FZ22" s="1453"/>
      <c r="GA22" s="1453"/>
      <c r="GB22" s="1453"/>
      <c r="GC22" s="1434">
        <v>12</v>
      </c>
    </row>
    <row s="60775" customFormat="1" customHeight="1" ht="12.75">
      <c r="A23" s="1574"/>
      <c r="B23" s="1574"/>
      <c r="C23" s="1574"/>
      <c r="D23" s="1574"/>
      <c r="E23" s="1574"/>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c r="AN23" s="1576"/>
      <c r="AO23" s="1576"/>
      <c r="AP23" s="1576"/>
      <c r="AQ23" s="1576"/>
      <c r="AR23" s="1576"/>
      <c r="AS23" s="1576"/>
      <c r="AT23" s="1576"/>
      <c r="AU23" s="1576"/>
      <c r="AV23" s="1576"/>
      <c r="AW23" s="1576"/>
      <c r="AX23" s="1576"/>
      <c r="AY23" s="1576"/>
      <c r="AZ23" s="1576"/>
      <c r="BA23" s="1576"/>
      <c r="BB23" s="1576"/>
      <c r="BC23" s="1576"/>
      <c r="BD23" s="1576"/>
      <c r="BE23" s="1576"/>
      <c r="BF23" s="1576"/>
      <c r="BG23" s="1576"/>
      <c r="BH23" s="1576"/>
      <c r="BI23" s="1576"/>
      <c r="BJ23" s="1576"/>
      <c r="BK23" s="1576"/>
      <c r="BL23" s="1576"/>
      <c r="BM23" s="1576"/>
      <c r="BN23" s="1576"/>
      <c r="BO23" s="1576"/>
      <c r="BP23" s="1576"/>
      <c r="BQ23" s="1576"/>
      <c r="BR23" s="1576"/>
      <c r="BS23" s="1576"/>
      <c r="BT23" s="1577"/>
      <c r="BU23" s="1577"/>
      <c r="BV23" s="1577"/>
      <c r="BW23" s="1577"/>
      <c r="BX23" s="1577"/>
      <c r="BY23" s="1577"/>
      <c r="BZ23" s="1577"/>
      <c r="CA23" s="1577"/>
      <c r="CB23" s="1577"/>
      <c r="CC23" s="1577"/>
      <c r="CD23" s="1577"/>
      <c r="CE23" s="1577"/>
      <c r="CF23" s="1577"/>
      <c r="CG23" s="1577"/>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7"/>
      <c r="DD23" s="1577"/>
      <c r="DE23" s="1577"/>
      <c r="DF23" s="1577"/>
      <c r="DG23" s="1577"/>
      <c r="DH23" s="1577"/>
      <c r="DI23" s="1577"/>
      <c r="DJ23" s="1577"/>
      <c r="DK23" s="1577"/>
      <c r="DL23" s="1577"/>
      <c r="DM23" s="1577"/>
      <c r="DN23" s="1577"/>
      <c r="DO23" s="1577"/>
      <c r="DP23" s="1577"/>
      <c r="DQ23" s="1577"/>
      <c r="DR23" s="1577"/>
      <c r="DS23" s="1577"/>
      <c r="DT23" s="1577"/>
      <c r="DU23" s="1577"/>
      <c r="DV23" s="1577"/>
      <c r="DW23" s="1577"/>
      <c r="DX23" s="1577"/>
      <c r="FX23" s="1574"/>
      <c r="FY23" s="1574"/>
      <c r="FZ23" s="1574"/>
      <c r="GA23" s="1574"/>
      <c r="GB23" s="1574"/>
      <c r="GC23" s="1575">
        <v>12</v>
      </c>
    </row>
    <row customHeight="1" ht="12.75">
      <c r="S24" s="1450"/>
      <c r="T24" s="1450"/>
      <c r="U24" s="1450"/>
      <c r="V24" s="1450"/>
      <c r="W24" s="1450"/>
      <c r="X24" s="1450"/>
      <c r="Y24" s="1450"/>
      <c r="Z24" s="1450"/>
      <c r="AA24" s="1450"/>
      <c r="AB24" s="1450"/>
      <c r="FX24" s="1450"/>
      <c r="FY24" s="1450"/>
      <c r="FZ24" s="1450"/>
      <c r="GA24" s="1450"/>
      <c r="GB24" s="1450"/>
      <c r="GC24" s="1438">
        <v>12</v>
      </c>
    </row>
    <row customHeight="1" ht="12" hidden="1">
      <c r="A25" s="1438" t="s">
        <v>84</v>
      </c>
      <c r="B25" s="1448">
        <v>0</v>
      </c>
      <c r="C25" s="1438">
        <v>0</v>
      </c>
      <c r="D25" s="1438">
        <v>0</v>
      </c>
      <c r="E25" s="1438">
        <v>3</v>
      </c>
      <c r="F25" s="1438">
        <v>6</v>
      </c>
      <c r="G25" s="1438">
        <v>18</v>
      </c>
      <c r="H25" s="1438">
        <v>27</v>
      </c>
      <c r="I25" s="1438">
        <v>18</v>
      </c>
      <c r="J25" s="1438">
        <v>0</v>
      </c>
      <c r="K25" s="1438">
        <v>0</v>
      </c>
      <c r="L25" s="1438">
        <v>0</v>
      </c>
      <c r="M25" s="1438">
        <v>0</v>
      </c>
      <c r="N25" s="1438">
        <v>0</v>
      </c>
      <c r="O25" s="1438">
        <v>0</v>
      </c>
      <c r="P25" s="1438">
        <v>0</v>
      </c>
      <c r="Q25" s="1438">
        <v>0</v>
      </c>
      <c r="R25" s="1438">
        <v>0</v>
      </c>
      <c r="S25" s="1438">
        <v>0</v>
      </c>
      <c r="T25" s="1438">
        <v>0</v>
      </c>
      <c r="U25" s="1438">
        <v>0</v>
      </c>
      <c r="V25" s="1438">
        <v>0</v>
      </c>
      <c r="W25" s="1438">
        <v>0</v>
      </c>
      <c r="X25" s="1438">
        <v>0</v>
      </c>
      <c r="Y25" s="1438">
        <v>0</v>
      </c>
      <c r="Z25" s="1438">
        <v>0</v>
      </c>
      <c r="AA25" s="1438">
        <v>0</v>
      </c>
      <c r="AB25" s="1438">
        <v>0</v>
      </c>
      <c r="AC25" s="1438">
        <v>0</v>
      </c>
      <c r="AD25" s="1438">
        <v>0</v>
      </c>
      <c r="AE25" s="1438">
        <v>0</v>
      </c>
      <c r="AF25" s="1438">
        <v>0</v>
      </c>
      <c r="AG25" s="1438">
        <v>0</v>
      </c>
      <c r="AH25" s="1438">
        <v>0</v>
      </c>
      <c r="AI25" s="1438">
        <v>0</v>
      </c>
      <c r="AJ25" s="1438">
        <v>0</v>
      </c>
      <c r="AK25" s="1438">
        <v>0</v>
      </c>
      <c r="AL25" s="1438">
        <v>0</v>
      </c>
      <c r="AM25" s="1438">
        <v>0</v>
      </c>
      <c r="AN25" s="1438">
        <v>0</v>
      </c>
      <c r="AO25" s="1438">
        <v>0</v>
      </c>
      <c r="AP25" s="1438">
        <v>0</v>
      </c>
      <c r="AQ25" s="1438">
        <v>0</v>
      </c>
      <c r="AR25" s="1438">
        <v>0</v>
      </c>
      <c r="AS25" s="1438">
        <v>0</v>
      </c>
      <c r="AT25" s="1438">
        <v>0</v>
      </c>
      <c r="AU25" s="1438">
        <v>0</v>
      </c>
      <c r="AV25" s="1438">
        <v>0</v>
      </c>
      <c r="AW25" s="1438">
        <v>0</v>
      </c>
      <c r="AX25" s="1438">
        <v>0</v>
      </c>
      <c r="AY25" s="1438">
        <v>0</v>
      </c>
      <c r="AZ25" s="1438">
        <v>0</v>
      </c>
      <c r="BA25" s="1438">
        <v>0</v>
      </c>
      <c r="BB25" s="1438">
        <v>0</v>
      </c>
      <c r="BC25" s="1438">
        <v>0</v>
      </c>
      <c r="BD25" s="1438">
        <v>0</v>
      </c>
      <c r="BE25" s="1438">
        <v>0</v>
      </c>
      <c r="BF25" s="1438">
        <v>0</v>
      </c>
      <c r="BG25" s="1438">
        <v>0</v>
      </c>
      <c r="BH25" s="1438">
        <v>0</v>
      </c>
      <c r="BI25" s="1438">
        <v>0</v>
      </c>
      <c r="BJ25" s="1438">
        <v>0</v>
      </c>
      <c r="BK25" s="1438">
        <v>0</v>
      </c>
      <c r="BL25" s="1438">
        <v>0</v>
      </c>
      <c r="BM25" s="1438">
        <v>0</v>
      </c>
      <c r="BN25" s="1438">
        <v>0</v>
      </c>
      <c r="BO25" s="1438">
        <v>0</v>
      </c>
      <c r="BP25" s="1438">
        <v>0</v>
      </c>
      <c r="BQ25" s="1438">
        <v>0</v>
      </c>
      <c r="BR25" s="1438">
        <v>0</v>
      </c>
      <c r="BS25" s="1438">
        <v>0</v>
      </c>
      <c r="BT25" s="1438">
        <v>0</v>
      </c>
      <c r="BU25" s="1438">
        <v>0</v>
      </c>
      <c r="BV25" s="1438">
        <v>0</v>
      </c>
      <c r="BW25" s="1438">
        <v>0</v>
      </c>
      <c r="BX25" s="1438">
        <v>0</v>
      </c>
      <c r="BY25" s="1438">
        <v>0</v>
      </c>
      <c r="BZ25" s="1438">
        <v>0</v>
      </c>
      <c r="CA25" s="1438">
        <v>0</v>
      </c>
      <c r="CB25" s="1438">
        <v>0</v>
      </c>
      <c r="CC25" s="1438">
        <v>0</v>
      </c>
      <c r="CD25" s="1438">
        <v>0</v>
      </c>
      <c r="CE25" s="1438">
        <v>0</v>
      </c>
      <c r="CF25" s="1438">
        <v>0</v>
      </c>
      <c r="CG25" s="1438">
        <v>0</v>
      </c>
      <c r="CH25" s="1438">
        <v>0</v>
      </c>
      <c r="CI25" s="1438">
        <v>0</v>
      </c>
      <c r="CJ25" s="1438">
        <v>0</v>
      </c>
      <c r="CK25" s="1438">
        <v>0</v>
      </c>
      <c r="CL25" s="1438">
        <v>0</v>
      </c>
      <c r="CM25" s="1438">
        <v>0</v>
      </c>
      <c r="CN25" s="1438">
        <v>0</v>
      </c>
      <c r="CO25" s="1438">
        <v>0</v>
      </c>
      <c r="CP25" s="1438">
        <v>0</v>
      </c>
      <c r="CQ25" s="1438">
        <v>0</v>
      </c>
      <c r="CR25" s="1438">
        <v>0</v>
      </c>
      <c r="CS25" s="1438">
        <v>0</v>
      </c>
      <c r="CT25" s="1438">
        <v>0</v>
      </c>
      <c r="CU25" s="1438">
        <v>0</v>
      </c>
      <c r="CV25" s="1438">
        <v>0</v>
      </c>
      <c r="CW25" s="1438">
        <v>0</v>
      </c>
      <c r="CX25" s="1438">
        <v>0</v>
      </c>
      <c r="CY25" s="1438">
        <v>0</v>
      </c>
      <c r="CZ25" s="1438">
        <v>0</v>
      </c>
      <c r="DA25" s="1438">
        <v>0</v>
      </c>
      <c r="DB25" s="1438">
        <v>0</v>
      </c>
      <c r="DC25" s="1438">
        <v>0</v>
      </c>
      <c r="DD25" s="1438">
        <v>0</v>
      </c>
      <c r="DE25" s="1438">
        <v>0</v>
      </c>
      <c r="DF25" s="1438">
        <v>0</v>
      </c>
      <c r="DG25" s="1438">
        <v>0</v>
      </c>
      <c r="DH25" s="1438">
        <v>0</v>
      </c>
      <c r="DI25" s="1438">
        <v>0</v>
      </c>
      <c r="DJ25" s="1438">
        <v>0</v>
      </c>
      <c r="DK25" s="1438">
        <v>0</v>
      </c>
      <c r="DL25" s="1438">
        <v>0</v>
      </c>
      <c r="DM25" s="1438">
        <v>0</v>
      </c>
      <c r="DN25" s="1438">
        <v>0</v>
      </c>
      <c r="DO25" s="1438">
        <v>0</v>
      </c>
      <c r="DP25" s="1438">
        <v>0</v>
      </c>
      <c r="DQ25" s="1438">
        <v>0</v>
      </c>
      <c r="DR25" s="1438">
        <v>0</v>
      </c>
      <c r="DS25" s="1438">
        <v>0</v>
      </c>
      <c r="DT25" s="1438">
        <v>0</v>
      </c>
      <c r="DU25" s="1438">
        <v>0</v>
      </c>
      <c r="DV25" s="1438">
        <v>0</v>
      </c>
      <c r="DW25" s="1438">
        <v>0</v>
      </c>
      <c r="DX25" s="1438">
        <v>0</v>
      </c>
      <c r="DY25" s="1438">
        <v>0</v>
      </c>
      <c r="DZ25" s="1438">
        <v>0</v>
      </c>
      <c r="EA25" s="1438">
        <v>0</v>
      </c>
      <c r="EB25" s="1438">
        <v>0</v>
      </c>
      <c r="EC25" s="1438">
        <v>0</v>
      </c>
      <c r="ED25" s="1438">
        <v>0</v>
      </c>
      <c r="EE25" s="1438">
        <v>0</v>
      </c>
      <c r="EF25" s="1438">
        <v>0</v>
      </c>
      <c r="EG25" s="1438">
        <v>0</v>
      </c>
      <c r="EH25" s="1438">
        <v>0</v>
      </c>
      <c r="EI25" s="1438">
        <v>0</v>
      </c>
      <c r="EJ25" s="1438">
        <v>0</v>
      </c>
      <c r="EK25" s="1438">
        <v>0</v>
      </c>
      <c r="EL25" s="1438">
        <v>0</v>
      </c>
      <c r="EM25" s="1438">
        <v>0</v>
      </c>
      <c r="EN25" s="1438">
        <v>0</v>
      </c>
      <c r="EO25" s="1438">
        <v>0</v>
      </c>
      <c r="EP25" s="1438">
        <v>0</v>
      </c>
      <c r="EQ25" s="1438">
        <v>0</v>
      </c>
      <c r="ER25" s="1438">
        <v>0</v>
      </c>
      <c r="ES25" s="1438">
        <v>0</v>
      </c>
      <c r="ET25" s="1438">
        <v>0</v>
      </c>
      <c r="EU25" s="1438">
        <v>0</v>
      </c>
      <c r="EV25" s="1438">
        <v>0</v>
      </c>
      <c r="EW25" s="1438">
        <v>0</v>
      </c>
      <c r="EX25" s="1438">
        <v>0</v>
      </c>
      <c r="EY25" s="1438">
        <v>0</v>
      </c>
      <c r="EZ25" s="1438">
        <v>0</v>
      </c>
      <c r="FA25" s="1438">
        <v>0</v>
      </c>
      <c r="FB25" s="1438">
        <v>0</v>
      </c>
      <c r="FC25" s="1438">
        <v>0</v>
      </c>
      <c r="FD25" s="1438">
        <v>0</v>
      </c>
      <c r="FE25" s="1438">
        <v>0</v>
      </c>
      <c r="FF25" s="1438">
        <v>0</v>
      </c>
      <c r="FG25" s="1438">
        <v>0</v>
      </c>
      <c r="FH25" s="1438">
        <v>0</v>
      </c>
      <c r="FI25" s="1438">
        <v>0</v>
      </c>
      <c r="FJ25" s="1438">
        <v>0</v>
      </c>
      <c r="FK25" s="1438">
        <v>0</v>
      </c>
      <c r="FL25" s="1438">
        <v>0</v>
      </c>
      <c r="FM25" s="1438">
        <v>0</v>
      </c>
      <c r="FN25" s="1438">
        <v>0</v>
      </c>
      <c r="FO25" s="1438">
        <v>0</v>
      </c>
      <c r="FP25" s="1438">
        <v>0</v>
      </c>
      <c r="FQ25" s="1438">
        <v>0</v>
      </c>
      <c r="FR25" s="1438">
        <v>0</v>
      </c>
      <c r="FS25" s="1438">
        <v>0</v>
      </c>
      <c r="FT25" s="1438">
        <v>0</v>
      </c>
      <c r="FU25" s="1438">
        <v>0</v>
      </c>
      <c r="FV25" s="1438">
        <v>0</v>
      </c>
      <c r="FW25" s="1438">
        <v>0</v>
      </c>
      <c r="FX25" s="1438">
        <v>8</v>
      </c>
      <c r="FY25" s="1438">
        <v>8</v>
      </c>
      <c r="FZ25" s="1438">
        <v>8</v>
      </c>
      <c r="GA25" s="1438">
        <v>8</v>
      </c>
      <c r="GB25" s="1438">
        <v>8</v>
      </c>
      <c r="GC25" s="143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0B932E-7A49-77DB-29ED-0E85DB1A6D96}" mc:Ignorable="x14ac xr xr2 xr3">
  <sheetPr>
    <tabColor theme="2" tint="-0.1"/>
  </sheetPr>
  <dimension ref="A1:S23"/>
  <sheetViews>
    <sheetView topLeftCell="A1" showGridLines="0" zoomScale="90" workbookViewId="0">
      <selection activeCell="A1" sqref="A1"/>
    </sheetView>
  </sheetViews>
  <sheetFormatPr defaultColWidth="10.57421875" customHeight="1" defaultRowHeight="15"/>
  <cols>
    <col min="1" max="1" style="50765" width="9.140625" hidden="1" customWidth="1"/>
    <col min="2" max="2" style="50801" width="9.140625" hidden="1" customWidth="1"/>
    <col min="3" max="3" style="60600" width="4.00390625" customWidth="1"/>
    <col min="4" max="4" style="50801" width="6.00390625" customWidth="1"/>
    <col min="5" max="5" style="50801" width="36.00390625" customWidth="1"/>
    <col min="6" max="6" style="50801" width="9.00390625" customWidth="1"/>
    <col min="7" max="7" style="50801" width="42.421875" hidden="1" customWidth="1"/>
    <col min="8" max="8" style="50801" width="40.7109375" customWidth="1"/>
    <col min="9" max="9" style="50881" width="93.00390625" customWidth="1"/>
    <col min="10" max="17" style="50801" width="10.00390625" customWidth="1"/>
    <col min="18" max="18" style="60601" width="10.00390625" customWidth="1"/>
    <col min="19" max="19" style="50801" width="10.57421875" hidden="1"/>
  </cols>
  <sheetData>
    <row s="50881" customFormat="1" customHeight="1" ht="15" hidden="1">
      <c r="C1" s="1184"/>
      <c r="H1" s="929">
        <v>4</v>
      </c>
      <c r="R1" s="932"/>
      <c r="S1" s="929" t="s">
        <v>14</v>
      </c>
    </row>
    <row customHeight="1" ht="22.5" hidden="1">
      <c r="C2" s="2440" t="s">
        <v>106</v>
      </c>
      <c r="D2" s="1051"/>
      <c r="E2" s="1175"/>
      <c r="F2" s="2273" t="str">
        <f>IF(TEMPLATE_SPHERE="HEAT","Гкал/час","тыс. куб. м/сутки")</f>
        <v>тыс. куб. м/сутки</v>
      </c>
      <c r="G2" s="1192"/>
      <c r="H2" s="1192"/>
      <c r="I2" s="801"/>
      <c r="S2" s="1017">
        <v>0</v>
      </c>
    </row>
    <row s="50881" customFormat="1" customHeight="1" ht="15" hidden="1">
      <c r="C3" s="1184"/>
      <c r="R3" s="932"/>
      <c r="S3" s="929">
        <v>0</v>
      </c>
    </row>
    <row customHeight="1" ht="15.75">
      <c r="C4" s="688"/>
      <c r="D4" s="1021"/>
      <c r="E4" s="1021"/>
      <c r="F4" s="1021"/>
      <c r="G4" s="1021"/>
      <c r="H4" s="1021"/>
      <c r="S4" s="1017">
        <v>15</v>
      </c>
    </row>
    <row customHeight="1" ht="39.75">
      <c r="C5" s="688"/>
      <c r="D5" s="274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49"/>
      <c r="F5" s="2749"/>
      <c r="G5" s="2749"/>
      <c r="H5" s="2749"/>
      <c r="I5" s="1049"/>
      <c r="S5" s="1017">
        <v>38</v>
      </c>
    </row>
    <row customHeight="1" ht="15.75">
      <c r="C6" s="688"/>
      <c r="D6" s="2688" t="str">
        <f>IF(org=0,"Не определено",org)</f>
        <v>КГУП "Примтеплоэнерго"</v>
      </c>
      <c r="E6" s="2688"/>
      <c r="F6" s="2688"/>
      <c r="G6" s="2688"/>
      <c r="H6" s="2688"/>
      <c r="I6" s="1049"/>
      <c r="S6" s="1017">
        <v>15</v>
      </c>
    </row>
    <row s="50801" customFormat="1" customHeight="1" ht="15.75">
      <c r="A7" s="1271"/>
      <c r="C7" s="688"/>
      <c r="D7" s="1188"/>
      <c r="E7" s="1188"/>
      <c r="F7" s="1188"/>
      <c r="G7" s="1188"/>
      <c r="H7" s="1264"/>
      <c r="I7" s="1049"/>
      <c r="R7" s="1187"/>
      <c r="S7" s="1270">
        <v>15</v>
      </c>
    </row>
    <row customHeight="1" ht="1.05">
      <c r="C8" s="688"/>
      <c r="D8" s="1021"/>
      <c r="E8" s="1021"/>
      <c r="F8" s="1021"/>
      <c r="G8" s="1021"/>
      <c r="H8" s="1049" t="s">
        <v>183</v>
      </c>
      <c r="S8" s="1017">
        <v>1</v>
      </c>
    </row>
    <row customHeight="1" ht="15.75">
      <c r="C9" s="688"/>
      <c r="D9" s="1223"/>
      <c r="E9" s="2879" t="s">
        <v>175</v>
      </c>
      <c r="F9" s="2880"/>
      <c r="G9" s="1328" t="str">
        <f>IF(G8="","",INDEX(DIFFERENTIATION_UNMERGE_VD,MATCH(G8,DIFFERENTIATION_ID_DIFF,0)))</f>
        <v/>
      </c>
      <c r="H9" s="1328">
        <f>IF(H8="","",INDEX(DIFFERENTIATION_UNMERGE_VD,MATCH(H8,DIFFERENTIATION_ID_DIFF,0)))</f>
        <v>0</v>
      </c>
      <c r="I9" s="2639" t="s">
        <v>440</v>
      </c>
      <c r="S9" s="1017">
        <v>15</v>
      </c>
    </row>
    <row s="50801" customFormat="1" customHeight="1" ht="15.75">
      <c r="A10" s="1271"/>
      <c r="C10" s="688"/>
      <c r="D10" s="1223"/>
      <c r="E10" s="2879" t="s">
        <v>702</v>
      </c>
      <c r="F10" s="2880"/>
      <c r="G10" s="1328" t="str">
        <f>IF(G8="","",INDEX(DIFFERENTIATION_UNMERGE_AREA,MATCH(G8,DIFFERENTIATION_ID_DIFF,0)))</f>
        <v/>
      </c>
      <c r="H10" s="1328" t="str">
        <f>IF(H8="","",INDEX(DIFFERENTIATION_UNMERGE_AREA,MATCH(H8,DIFFERENTIATION_ID_DIFF,0)))</f>
        <v/>
      </c>
      <c r="I10" s="2639"/>
      <c r="R10" s="1187"/>
      <c r="S10" s="1270">
        <v>15</v>
      </c>
    </row>
    <row s="50801" customFormat="1" customHeight="1" ht="15.75">
      <c r="A11" s="1271"/>
      <c r="C11" s="688"/>
      <c r="D11" s="1223"/>
      <c r="E11" s="2879" t="s">
        <v>703</v>
      </c>
      <c r="F11" s="2880"/>
      <c r="G11" s="1328" t="str">
        <f>IF(G8="","",INDEX(DIFFERENTIATION_UNMERGE_SYSTEM,MATCH(G8,DIFFERENTIATION_ID_DIFF,0)))</f>
        <v/>
      </c>
      <c r="H11" s="1328" t="str">
        <f>IF(H8="","",INDEX(DIFFERENTIATION_UNMERGE_SYSTEM,MATCH(H8,DIFFERENTIATION_ID_DIFF,0)))</f>
        <v>без дифференциации</v>
      </c>
      <c r="I11" s="2639"/>
      <c r="R11" s="1187"/>
      <c r="S11" s="1270">
        <v>15</v>
      </c>
    </row>
    <row s="50801" customFormat="1" customHeight="1" ht="15.75">
      <c r="A12" s="1271"/>
      <c r="C12" s="688"/>
      <c r="D12" s="2881" t="s">
        <v>439</v>
      </c>
      <c r="E12" s="2882"/>
      <c r="F12" s="2882"/>
      <c r="G12" s="1399"/>
      <c r="H12" s="1399"/>
      <c r="I12" s="2639"/>
      <c r="R12" s="1187"/>
      <c r="S12" s="1270">
        <v>15</v>
      </c>
    </row>
    <row customHeight="1" ht="35.699999999999996">
      <c r="C13" s="688"/>
      <c r="D13" s="1273" t="s">
        <v>90</v>
      </c>
      <c r="E13" s="1272" t="s">
        <v>441</v>
      </c>
      <c r="F13" s="1272" t="s">
        <v>704</v>
      </c>
      <c r="G13" s="1320" t="s">
        <v>442</v>
      </c>
      <c r="H13" s="1266" t="s">
        <v>442</v>
      </c>
      <c r="I13" s="2639"/>
      <c r="S13" s="1017">
        <v>34</v>
      </c>
    </row>
    <row customHeight="1" ht="15" hidden="1">
      <c r="C14" s="688"/>
      <c r="D14" s="1105" t="s">
        <v>101</v>
      </c>
      <c r="E14" s="1105" t="s">
        <v>105</v>
      </c>
      <c r="F14" s="1105" t="s">
        <v>92</v>
      </c>
      <c r="G14" s="1171" t="str">
        <f>G1&amp;".1"</f>
        <v>.1</v>
      </c>
      <c r="H14" s="1171" t="str">
        <f>H1&amp;".1"</f>
        <v>4.1</v>
      </c>
      <c r="I14" s="801"/>
      <c r="S14" s="1017">
        <v>0</v>
      </c>
    </row>
    <row customHeight="1" ht="15.75">
      <c r="A15" s="1017"/>
      <c r="C15" s="1038"/>
      <c r="D15" s="1033">
        <v>1</v>
      </c>
      <c r="E15" s="2442" t="str">
        <f>TP_P_A</f>
        <v>Количество поданных заявлений </v>
      </c>
      <c r="F15" s="1033" t="s">
        <v>1252</v>
      </c>
      <c r="G15" s="1197"/>
      <c r="H15" s="1197"/>
      <c r="I15" s="72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017">
        <v>15</v>
      </c>
    </row>
    <row customHeight="1" ht="15.75">
      <c r="A16" s="1017"/>
      <c r="C16" s="1038"/>
      <c r="D16" s="1033">
        <v>2</v>
      </c>
      <c r="E16" s="2442" t="str">
        <f>TP_P_B</f>
        <v>Количество исполненных заявлений </v>
      </c>
      <c r="F16" s="1033" t="s">
        <v>1252</v>
      </c>
      <c r="G16" s="1197"/>
      <c r="H16" s="1197"/>
      <c r="I16" s="72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017">
        <v>15</v>
      </c>
    </row>
    <row customHeight="1" ht="77.7">
      <c r="A17" s="1017"/>
      <c r="C17" s="1038"/>
      <c r="D17" s="1033">
        <v>3</v>
      </c>
      <c r="E17" s="24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033" t="s">
        <v>1252</v>
      </c>
      <c r="G17" s="1197"/>
      <c r="H17" s="1197"/>
      <c r="I17" s="72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017">
        <v>74</v>
      </c>
    </row>
    <row customHeight="1" ht="54.75">
      <c r="A18" s="1017"/>
      <c r="C18" s="1038"/>
      <c r="D18" s="1033">
        <v>4</v>
      </c>
      <c r="E18" s="244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1033" t="s">
        <v>445</v>
      </c>
      <c r="G18" s="1198"/>
      <c r="H18" s="1198"/>
      <c r="I18" s="13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1017">
        <v>52</v>
      </c>
    </row>
    <row customHeight="1" ht="60">
      <c r="A19" s="1017"/>
      <c r="C19" s="1038"/>
      <c r="D19" s="1033">
        <v>5</v>
      </c>
      <c r="E19" s="244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1033" t="str">
        <f>IF(TEMPLATE_SPHERE="HEAT","Гкал/час","тыс. куб. м/сутки")</f>
        <v>тыс. куб. м/сутки</v>
      </c>
      <c r="G19" s="1199">
        <f>SUM(G20:G22)</f>
        <v>0</v>
      </c>
      <c r="H19" s="1199">
        <f>SUM(H20:H22)</f>
        <v>0</v>
      </c>
      <c r="I19" s="72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017">
        <v>57</v>
      </c>
    </row>
    <row customHeight="1" ht="15" hidden="1">
      <c r="D20" s="1021" t="s">
        <v>1253</v>
      </c>
      <c r="E20" s="1200"/>
      <c r="F20" s="1021"/>
      <c r="G20" s="1021"/>
      <c r="H20" s="1021"/>
      <c r="I20" s="2275"/>
      <c r="S20" s="1017">
        <v>0</v>
      </c>
    </row>
    <row customHeight="1" ht="29.25">
      <c r="C21" s="963"/>
      <c r="D21" s="1051" t="s">
        <v>452</v>
      </c>
      <c r="E21" s="1182"/>
      <c r="F21" s="2273" t="str">
        <f>IF(TEMPLATE_SPHERE="HEAT","Гкал/час","тыс. куб. м/сутки")</f>
        <v>тыс. куб. м/сутки</v>
      </c>
      <c r="G21" s="1192"/>
      <c r="H21" s="1192"/>
      <c r="I21" s="268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017">
        <v>28</v>
      </c>
    </row>
    <row customHeight="1" ht="15.75">
      <c r="A22" s="1017"/>
      <c r="C22" s="1017"/>
      <c r="D22" s="859"/>
      <c r="E22" s="1092" t="s">
        <v>1254</v>
      </c>
      <c r="F22" s="1084"/>
      <c r="G22" s="1084"/>
      <c r="H22" s="1084"/>
      <c r="I22" s="2683"/>
      <c r="R22" s="1017"/>
      <c r="S22" s="1017">
        <v>15</v>
      </c>
    </row>
    <row customHeight="1" ht="22.5" hidden="1">
      <c r="A23" s="961" t="s">
        <v>84</v>
      </c>
      <c r="B23" s="1017">
        <v>0</v>
      </c>
      <c r="C23" s="1195">
        <v>4</v>
      </c>
      <c r="D23" s="1017">
        <v>6</v>
      </c>
      <c r="E23" s="1017">
        <v>36</v>
      </c>
      <c r="F23" s="1017">
        <v>9</v>
      </c>
      <c r="G23" s="1270">
        <v>0</v>
      </c>
      <c r="H23" s="1017">
        <v>40</v>
      </c>
      <c r="I23" s="929">
        <v>93</v>
      </c>
      <c r="J23" s="1017">
        <v>10</v>
      </c>
      <c r="K23" s="1017">
        <v>10</v>
      </c>
      <c r="L23" s="1017">
        <v>10</v>
      </c>
      <c r="M23" s="1017">
        <v>10</v>
      </c>
      <c r="N23" s="1017">
        <v>10</v>
      </c>
      <c r="O23" s="1017">
        <v>10</v>
      </c>
      <c r="P23" s="1017">
        <v>10</v>
      </c>
      <c r="Q23" s="1017">
        <v>10</v>
      </c>
      <c r="R23" s="1187">
        <v>10</v>
      </c>
      <c r="S23" s="1017">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B4EE64-1176-0C1A-7EEB-EE3D236CAF91}"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51808" width="9.140625" hidden="1" customWidth="1"/>
    <col min="2" max="2" style="50881" width="9.140625" hidden="1" customWidth="1"/>
    <col min="3" max="3" style="51809" width="3.00390625" customWidth="1"/>
    <col min="4" max="4" style="50801" width="6.00390625" customWidth="1"/>
    <col min="5" max="6" style="50801" width="64.00390625" customWidth="1"/>
    <col min="7" max="7" style="50801" width="140.00390625" customWidth="1"/>
    <col min="8" max="8" style="50801" width="10.00390625" customWidth="1"/>
    <col min="9" max="10" style="50981" width="10.00390625" customWidth="1"/>
    <col min="11" max="16" style="50801" width="10.00390625" customWidth="1"/>
    <col min="17" max="17" style="50801" width="10.57421875" hidden="1"/>
  </cols>
  <sheetData>
    <row customHeight="1" ht="22.5" hidden="1">
      <c r="M1" s="767"/>
      <c r="N1" s="767"/>
      <c r="P1" s="767"/>
      <c r="Q1" s="595" t="s">
        <v>14</v>
      </c>
    </row>
    <row customHeight="1" ht="14.25" hidden="1">
      <c r="Q2" s="595">
        <v>0</v>
      </c>
    </row>
    <row customHeight="1" ht="14.25" hidden="1">
      <c r="Q3" s="595">
        <v>0</v>
      </c>
    </row>
    <row customHeight="1" ht="3">
      <c r="C4" s="608"/>
      <c r="D4" s="596"/>
      <c r="E4" s="596"/>
      <c r="F4" s="597"/>
      <c r="G4" s="597"/>
      <c r="Q4" s="595">
        <v>3</v>
      </c>
    </row>
    <row customHeight="1" ht="29.25">
      <c r="C5" s="608"/>
      <c r="D5" s="296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967"/>
      <c r="F5" s="2967"/>
      <c r="G5" s="2968"/>
      <c r="Q5" s="595">
        <v>28</v>
      </c>
    </row>
    <row s="50801" customFormat="1" customHeight="1" ht="18.75">
      <c r="A6" s="1394"/>
      <c r="B6" s="929"/>
      <c r="C6" s="888"/>
      <c r="D6" s="2969" t="str">
        <f>IF(org=0,"Не определено",org)</f>
        <v>КГУП "Примтеплоэнерго"</v>
      </c>
      <c r="E6" s="2970"/>
      <c r="F6" s="2970"/>
      <c r="G6" s="2971"/>
      <c r="I6" s="1012"/>
      <c r="J6" s="1012"/>
      <c r="Q6" s="1270">
        <v>18</v>
      </c>
    </row>
    <row customHeight="1" ht="14.699999999999998">
      <c r="C7" s="608"/>
      <c r="D7" s="596"/>
      <c r="E7" s="607"/>
      <c r="F7" s="1264"/>
      <c r="G7" s="705"/>
      <c r="Q7" s="595">
        <v>14</v>
      </c>
    </row>
    <row s="50801" customFormat="1" customHeight="1" ht="1.05">
      <c r="A8" s="2181"/>
      <c r="B8" s="1672"/>
      <c r="C8" s="888"/>
      <c r="D8" s="875"/>
      <c r="E8" s="901"/>
      <c r="F8" s="1264"/>
      <c r="G8" s="705"/>
      <c r="I8" s="2136"/>
      <c r="J8" s="2136"/>
      <c r="Q8" s="2143">
        <v>1</v>
      </c>
    </row>
    <row customHeight="1" ht="14.699999999999998">
      <c r="C9" s="608"/>
      <c r="D9" s="2721" t="s">
        <v>439</v>
      </c>
      <c r="E9" s="2721"/>
      <c r="F9" s="2721"/>
      <c r="G9" s="2901" t="s">
        <v>440</v>
      </c>
      <c r="Q9" s="595">
        <v>14</v>
      </c>
    </row>
    <row customHeight="1" ht="24">
      <c r="C10" s="608"/>
      <c r="D10" s="617" t="s">
        <v>90</v>
      </c>
      <c r="E10" s="620" t="s">
        <v>441</v>
      </c>
      <c r="F10" s="620" t="s">
        <v>529</v>
      </c>
      <c r="G10" s="2901"/>
      <c r="Q10" s="595">
        <v>23</v>
      </c>
    </row>
    <row customHeight="1" ht="12" hidden="1">
      <c r="C11" s="608"/>
      <c r="D11" s="599"/>
      <c r="E11" s="599"/>
      <c r="F11" s="599"/>
      <c r="G11" s="599"/>
      <c r="Q11" s="595">
        <v>0</v>
      </c>
    </row>
    <row customHeight="1" ht="65.25">
      <c r="A12" s="704"/>
      <c r="C12" s="608"/>
      <c r="D12" s="659">
        <v>1</v>
      </c>
      <c r="E12" s="70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710" t="s">
        <v>445</v>
      </c>
      <c r="G12" s="663"/>
      <c r="Q12" s="595">
        <v>62</v>
      </c>
    </row>
    <row customHeight="1" ht="24">
      <c r="A13" s="704"/>
      <c r="C13" s="608"/>
      <c r="D13" s="659" t="s">
        <v>1159</v>
      </c>
      <c r="E13" s="7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10" t="s">
        <v>445</v>
      </c>
      <c r="G13" s="663"/>
      <c r="Q13" s="595">
        <v>23</v>
      </c>
    </row>
    <row customHeight="1" ht="14.699999999999998">
      <c r="A14" s="704"/>
      <c r="C14" s="608"/>
      <c r="D14" s="659" t="s">
        <v>1195</v>
      </c>
      <c r="E14" s="707"/>
      <c r="F14" s="725"/>
      <c r="G14" s="26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95">
        <v>14</v>
      </c>
    </row>
    <row customHeight="1" ht="15.75">
      <c r="A15" s="704"/>
      <c r="C15" s="608"/>
      <c r="D15" s="621"/>
      <c r="E15" s="861" t="s">
        <v>1255</v>
      </c>
      <c r="F15" s="713"/>
      <c r="G15" s="2683"/>
      <c r="Q15" s="595">
        <v>15</v>
      </c>
    </row>
    <row customHeight="1" ht="14.699999999999998">
      <c r="A16" s="704"/>
      <c r="C16" s="608"/>
      <c r="D16" s="659" t="s">
        <v>1161</v>
      </c>
      <c r="E16" s="7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710" t="s">
        <v>445</v>
      </c>
      <c r="G16" s="849"/>
      <c r="Q16" s="595">
        <v>14</v>
      </c>
    </row>
    <row customHeight="1" ht="14.699999999999998">
      <c r="A17" s="704"/>
      <c r="C17" s="608"/>
      <c r="D17" s="659" t="s">
        <v>1203</v>
      </c>
      <c r="E17" s="707"/>
      <c r="F17" s="897"/>
      <c r="G17" s="26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595">
        <v>14</v>
      </c>
    </row>
    <row s="50801" customFormat="1" customHeight="1" ht="22.049999999999997">
      <c r="A18" s="855"/>
      <c r="B18" s="658"/>
      <c r="C18" s="819"/>
      <c r="D18" s="859"/>
      <c r="E18" s="861" t="s">
        <v>1256</v>
      </c>
      <c r="F18" s="850"/>
      <c r="G18" s="2683"/>
      <c r="I18" s="862"/>
      <c r="J18" s="862"/>
      <c r="Q18" s="854">
        <v>21</v>
      </c>
    </row>
    <row s="50801" customFormat="1" customHeight="1" ht="256.5" hidden="1">
      <c r="A19" s="855"/>
      <c r="B19" s="929"/>
      <c r="C19" s="888"/>
      <c r="D19" s="1396" t="s">
        <v>1163</v>
      </c>
      <c r="E19" s="1395" t="s">
        <v>1257</v>
      </c>
      <c r="F19" s="897"/>
      <c r="G19" s="849" t="s">
        <v>1258</v>
      </c>
      <c r="I19" s="1012"/>
      <c r="J19" s="1012"/>
      <c r="Q19" s="1270">
        <v>0</v>
      </c>
    </row>
    <row s="50801" customFormat="1" customHeight="1" ht="14.699999999999998">
      <c r="A20" s="855"/>
      <c r="B20" s="658"/>
      <c r="C20" s="819"/>
      <c r="D20" s="1397">
        <v>2</v>
      </c>
      <c r="E20" s="842" t="s">
        <v>1259</v>
      </c>
      <c r="F20" s="710" t="s">
        <v>445</v>
      </c>
      <c r="G20" s="849"/>
      <c r="I20" s="862"/>
      <c r="J20" s="862"/>
      <c r="Q20" s="854">
        <v>14</v>
      </c>
    </row>
    <row s="50801" customFormat="1" customHeight="1" ht="18.75" hidden="1">
      <c r="A21" s="855"/>
      <c r="B21" s="658"/>
      <c r="C21" s="819"/>
      <c r="D21" s="845" t="s">
        <v>774</v>
      </c>
      <c r="E21" s="844"/>
      <c r="F21" s="843"/>
      <c r="G21" s="853"/>
      <c r="H21" s="846"/>
      <c r="I21" s="862"/>
      <c r="J21" s="862"/>
      <c r="Q21" s="854">
        <v>0</v>
      </c>
    </row>
    <row customHeight="1" ht="15.75">
      <c r="A22" s="704"/>
      <c r="C22" s="608"/>
      <c r="D22" s="621"/>
      <c r="E22" s="715" t="s">
        <v>461</v>
      </c>
      <c r="F22" s="850"/>
      <c r="G22" s="851"/>
      <c r="Q22" s="595">
        <v>15</v>
      </c>
    </row>
    <row s="50801" customFormat="1" customHeight="1" ht="22.5" hidden="1">
      <c r="A23" s="855"/>
      <c r="B23" s="1672"/>
      <c r="C23" s="888"/>
      <c r="D23" s="2185" t="s">
        <v>105</v>
      </c>
      <c r="E23" s="709" t="s">
        <v>1260</v>
      </c>
      <c r="F23" s="2182" t="s">
        <v>445</v>
      </c>
      <c r="G23" s="857"/>
      <c r="I23" s="2136"/>
      <c r="J23" s="2136"/>
      <c r="Q23" s="2143">
        <v>0</v>
      </c>
    </row>
    <row s="50801" customFormat="1" customHeight="1" ht="14.25" hidden="1">
      <c r="A24" s="855"/>
      <c r="B24" s="1672"/>
      <c r="C24" s="888"/>
      <c r="D24" s="2185" t="s">
        <v>846</v>
      </c>
      <c r="E24" s="2184" t="s">
        <v>1261</v>
      </c>
      <c r="F24" s="2182" t="s">
        <v>445</v>
      </c>
      <c r="G24" s="849"/>
      <c r="I24" s="2136"/>
      <c r="J24" s="2136"/>
      <c r="Q24" s="2143">
        <v>0</v>
      </c>
    </row>
    <row s="50801" customFormat="1" customHeight="1" ht="14.25" hidden="1">
      <c r="A25" s="855"/>
      <c r="B25" s="1672"/>
      <c r="C25" s="888"/>
      <c r="D25" s="2185" t="s">
        <v>849</v>
      </c>
      <c r="E25" s="707"/>
      <c r="F25" s="897"/>
      <c r="G25" s="2681" t="s">
        <v>1262</v>
      </c>
      <c r="I25" s="2136"/>
      <c r="J25" s="2136"/>
      <c r="Q25" s="2143">
        <v>0</v>
      </c>
    </row>
    <row s="50801" customFormat="1" customHeight="1" ht="22.5" hidden="1">
      <c r="A26" s="855"/>
      <c r="B26" s="1672"/>
      <c r="C26" s="888"/>
      <c r="D26" s="859"/>
      <c r="E26" s="861" t="s">
        <v>1263</v>
      </c>
      <c r="F26" s="850"/>
      <c r="G26" s="2683"/>
      <c r="I26" s="2136"/>
      <c r="J26" s="2136"/>
      <c r="Q26" s="2143">
        <v>0</v>
      </c>
    </row>
    <row customHeight="1" ht="3">
      <c r="Q27" s="595">
        <v>3</v>
      </c>
    </row>
    <row customHeight="1" ht="14.699999999999998">
      <c r="D28" s="848"/>
      <c r="E28" s="847"/>
      <c r="F28" s="827"/>
      <c r="G28" s="827"/>
      <c r="H28" s="827"/>
      <c r="I28" s="827"/>
      <c r="J28" s="827"/>
      <c r="K28" s="827"/>
      <c r="L28" s="827"/>
      <c r="M28" s="827"/>
      <c r="N28" s="827"/>
      <c r="O28" s="827"/>
      <c r="P28" s="827"/>
      <c r="Q28" s="595">
        <v>14</v>
      </c>
    </row>
    <row customHeight="1" ht="14.699999999999998">
      <c r="D29" s="848"/>
      <c r="E29" s="1094"/>
      <c r="Q29" s="595">
        <v>14</v>
      </c>
    </row>
    <row customHeight="1" ht="14.699999999999998">
      <c r="Q30" s="595">
        <v>14</v>
      </c>
    </row>
    <row customHeight="1" ht="14.699999999999998">
      <c r="E31" s="1270"/>
      <c r="Q31" s="595">
        <v>14</v>
      </c>
    </row>
    <row customHeight="1" ht="22.5" hidden="1">
      <c r="A32" s="613" t="s">
        <v>84</v>
      </c>
      <c r="B32" s="658">
        <v>0</v>
      </c>
      <c r="C32" s="609">
        <v>3</v>
      </c>
      <c r="D32" s="595">
        <v>6</v>
      </c>
      <c r="E32" s="595">
        <v>64</v>
      </c>
      <c r="F32" s="595">
        <v>64</v>
      </c>
      <c r="G32" s="595">
        <v>140</v>
      </c>
      <c r="H32" s="595">
        <v>10</v>
      </c>
      <c r="I32" s="667">
        <v>10</v>
      </c>
      <c r="J32" s="667">
        <v>10</v>
      </c>
      <c r="K32" s="595">
        <v>10</v>
      </c>
      <c r="L32" s="595">
        <v>10</v>
      </c>
      <c r="M32" s="595">
        <v>10</v>
      </c>
      <c r="N32" s="595">
        <v>10</v>
      </c>
      <c r="O32" s="595">
        <v>10</v>
      </c>
      <c r="P32" s="595">
        <v>10</v>
      </c>
      <c r="Q32" s="595">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320C41-0A3C-F891-D3FC-2F6C5584CE75}" mc:Ignorable="x14ac xr xr2 xr3">
  <sheetPr>
    <tabColor theme="6" tint="0.4"/>
  </sheetPr>
  <dimension ref="A1:M43"/>
  <sheetViews>
    <sheetView topLeftCell="A1" showGridLines="0" zoomScale="90" workbookViewId="0">
      <selection activeCell="G22" sqref="G22"/>
    </sheetView>
  </sheetViews>
  <sheetFormatPr defaultColWidth="10.57421875" customHeight="1" defaultRowHeight="14.25"/>
  <cols>
    <col min="1" max="1" style="51807" width="9.140625" hidden="1" customWidth="1"/>
    <col min="2" max="2" style="50881" width="9.140625" hidden="1" customWidth="1"/>
    <col min="3" max="3" style="51809" width="3.00390625" customWidth="1"/>
    <col min="4" max="4" style="50801" width="6.00390625" customWidth="1"/>
    <col min="5" max="5" style="50801" width="63.00390625" customWidth="1"/>
    <col min="6" max="6" style="50801" width="1.7109375" hidden="1" customWidth="1"/>
    <col min="7" max="8" style="50801" width="35.00390625" customWidth="1"/>
    <col min="9" max="9" style="50801" width="91.00390625" customWidth="1"/>
    <col min="10" max="10" style="50801" width="68.00390625" customWidth="1"/>
    <col min="11" max="12" style="50981" width="10.00390625" customWidth="1"/>
    <col min="13" max="13" style="50801" width="10.57421875" hidden="1"/>
  </cols>
  <sheetData>
    <row customHeight="1" ht="22.5" hidden="1">
      <c r="M1" s="595" t="s">
        <v>14</v>
      </c>
    </row>
    <row s="50801" customFormat="1" customHeight="1" ht="18.75" hidden="1">
      <c r="A2" s="2195"/>
      <c r="B2" s="1672"/>
      <c r="C2" s="2242" t="s">
        <v>106</v>
      </c>
      <c r="D2" s="2185"/>
      <c r="E2" s="711"/>
      <c r="F2" s="2182"/>
      <c r="G2" s="2182" t="s">
        <v>445</v>
      </c>
      <c r="H2" s="1673"/>
      <c r="K2" s="2136"/>
      <c r="L2" s="2136"/>
      <c r="M2" s="2143">
        <v>0</v>
      </c>
    </row>
    <row s="50801" customFormat="1" customHeight="1" ht="14.25" hidden="1">
      <c r="A3" s="1874"/>
      <c r="B3" s="1672"/>
      <c r="C3" s="856"/>
      <c r="K3" s="2136"/>
      <c r="L3" s="2136"/>
      <c r="M3" s="2143">
        <v>0</v>
      </c>
    </row>
    <row s="50801" customFormat="1" customHeight="1" ht="18.75" hidden="1">
      <c r="A4" s="2195"/>
      <c r="B4" s="1672"/>
      <c r="C4" s="2242" t="s">
        <v>106</v>
      </c>
      <c r="D4" s="2185"/>
      <c r="E4" s="717" t="s">
        <v>1264</v>
      </c>
      <c r="F4" s="2182"/>
      <c r="G4" s="769"/>
      <c r="H4" s="2182" t="s">
        <v>445</v>
      </c>
      <c r="K4" s="2136"/>
      <c r="L4" s="2136"/>
      <c r="M4" s="2143">
        <v>0</v>
      </c>
    </row>
    <row s="50801" customFormat="1" customHeight="1" ht="14.25" hidden="1">
      <c r="A5" s="1874"/>
      <c r="B5" s="1672"/>
      <c r="C5" s="856"/>
      <c r="K5" s="2136"/>
      <c r="L5" s="2136"/>
      <c r="M5" s="2143">
        <v>0</v>
      </c>
    </row>
    <row s="50801" customFormat="1" customHeight="1" ht="18.75" hidden="1">
      <c r="A6" s="2195"/>
      <c r="B6" s="1672"/>
      <c r="C6" s="2242" t="s">
        <v>106</v>
      </c>
      <c r="D6" s="2185"/>
      <c r="E6" s="718" t="s">
        <v>1265</v>
      </c>
      <c r="F6" s="2182"/>
      <c r="G6" s="769"/>
      <c r="H6" s="2182" t="s">
        <v>445</v>
      </c>
      <c r="K6" s="2136"/>
      <c r="L6" s="2136"/>
      <c r="M6" s="2143">
        <v>0</v>
      </c>
    </row>
    <row s="50801" customFormat="1" customHeight="1" ht="14.25" hidden="1">
      <c r="A7" s="1874"/>
      <c r="B7" s="1672"/>
      <c r="C7" s="856"/>
      <c r="K7" s="2136"/>
      <c r="L7" s="2136"/>
      <c r="M7" s="2143">
        <v>0</v>
      </c>
    </row>
    <row s="50801" customFormat="1" customHeight="1" ht="18.75" hidden="1">
      <c r="A8" s="2195"/>
      <c r="B8" s="1672"/>
      <c r="C8" s="2242" t="s">
        <v>106</v>
      </c>
      <c r="D8" s="2185"/>
      <c r="E8" s="718" t="s">
        <v>1266</v>
      </c>
      <c r="F8" s="2182"/>
      <c r="G8" s="769"/>
      <c r="H8" s="2182" t="s">
        <v>445</v>
      </c>
      <c r="K8" s="2136"/>
      <c r="L8" s="2136"/>
      <c r="M8" s="2143">
        <v>0</v>
      </c>
    </row>
    <row s="50801" customFormat="1" customHeight="1" ht="14.25" hidden="1">
      <c r="A9" s="1874"/>
      <c r="B9" s="1672"/>
      <c r="C9" s="856"/>
      <c r="K9" s="2136"/>
      <c r="L9" s="2136"/>
      <c r="M9" s="2143">
        <v>0</v>
      </c>
    </row>
    <row s="50801" customFormat="1" customHeight="1" ht="18.75" hidden="1">
      <c r="A10" s="2195"/>
      <c r="B10" s="1672"/>
      <c r="C10" s="2242" t="s">
        <v>106</v>
      </c>
      <c r="D10" s="2185"/>
      <c r="E10" s="718" t="s">
        <v>1267</v>
      </c>
      <c r="F10" s="2182"/>
      <c r="G10" s="2186"/>
      <c r="H10" s="2182" t="s">
        <v>445</v>
      </c>
      <c r="K10" s="2136"/>
      <c r="L10" s="2136" t="s">
        <v>1268</v>
      </c>
      <c r="M10" s="2143">
        <v>0</v>
      </c>
    </row>
    <row customHeight="1" ht="14.25" hidden="1">
      <c r="M11" s="595">
        <v>0</v>
      </c>
    </row>
    <row customHeight="1" ht="14.25" hidden="1">
      <c r="M12" s="595">
        <v>0</v>
      </c>
    </row>
    <row customHeight="1" ht="14.699999999999998">
      <c r="C13" s="608"/>
      <c r="D13" s="596"/>
      <c r="E13" s="596"/>
      <c r="F13" s="596"/>
      <c r="G13" s="596"/>
      <c r="H13" s="597"/>
      <c r="I13" s="597"/>
      <c r="M13" s="595">
        <v>14</v>
      </c>
    </row>
    <row customHeight="1" ht="29.25">
      <c r="C14" s="608"/>
      <c r="D14" s="296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967"/>
      <c r="F14" s="2967"/>
      <c r="G14" s="2967"/>
      <c r="H14" s="2968"/>
      <c r="J14" s="2143"/>
      <c r="M14" s="595">
        <v>28</v>
      </c>
    </row>
    <row s="50801" customFormat="1" customHeight="1" ht="14.699999999999998">
      <c r="A15" s="1874"/>
      <c r="B15" s="1672"/>
      <c r="C15" s="888"/>
      <c r="D15" s="2969" t="str">
        <f>IF(org=0,"Не определено",org)</f>
        <v>КГУП "Примтеплоэнерго"</v>
      </c>
      <c r="E15" s="2970"/>
      <c r="F15" s="2970"/>
      <c r="G15" s="2970"/>
      <c r="H15" s="2971"/>
      <c r="J15" s="1364"/>
      <c r="K15" s="2136"/>
      <c r="L15" s="2136"/>
      <c r="M15" s="2143">
        <v>14</v>
      </c>
    </row>
    <row customHeight="1" ht="14.699999999999998">
      <c r="C16" s="608"/>
      <c r="D16" s="596"/>
      <c r="E16" s="607"/>
      <c r="F16" s="607"/>
      <c r="G16" s="607"/>
      <c r="H16" s="1264"/>
      <c r="I16" s="705"/>
      <c r="M16" s="595">
        <v>14</v>
      </c>
    </row>
    <row s="50801" customFormat="1" customHeight="1" ht="14.25" hidden="1">
      <c r="A17" s="1874"/>
      <c r="B17" s="1672"/>
      <c r="C17" s="888"/>
      <c r="D17" s="875"/>
      <c r="E17" s="901"/>
      <c r="F17" s="901"/>
      <c r="G17" s="901"/>
      <c r="H17" s="1264"/>
      <c r="I17" s="705"/>
      <c r="K17" s="2136"/>
      <c r="L17" s="2136"/>
      <c r="M17" s="2143">
        <v>0</v>
      </c>
    </row>
    <row customHeight="1" ht="22.049999999999997">
      <c r="C18" s="608"/>
      <c r="D18" s="2721" t="s">
        <v>439</v>
      </c>
      <c r="E18" s="2721"/>
      <c r="F18" s="2721"/>
      <c r="G18" s="2721"/>
      <c r="H18" s="2721"/>
      <c r="I18" s="2901" t="s">
        <v>440</v>
      </c>
      <c r="M18" s="595">
        <v>21</v>
      </c>
    </row>
    <row customHeight="1" ht="22.049999999999997">
      <c r="C19" s="608"/>
      <c r="D19" s="617" t="s">
        <v>90</v>
      </c>
      <c r="E19" s="620" t="s">
        <v>441</v>
      </c>
      <c r="F19" s="620"/>
      <c r="G19" s="620" t="s">
        <v>442</v>
      </c>
      <c r="H19" s="620" t="s">
        <v>529</v>
      </c>
      <c r="I19" s="2901"/>
      <c r="M19" s="595">
        <v>21</v>
      </c>
    </row>
    <row customHeight="1" ht="12" hidden="1">
      <c r="C20" s="608"/>
      <c r="D20" s="599"/>
      <c r="E20" s="599"/>
      <c r="F20" s="599"/>
      <c r="G20" s="599"/>
      <c r="H20" s="599"/>
      <c r="I20" s="599"/>
      <c r="M20" s="595">
        <v>0</v>
      </c>
    </row>
    <row customHeight="1" ht="14.699999999999998">
      <c r="A21" s="2195"/>
      <c r="C21" s="608"/>
      <c r="D21" s="659">
        <v>1</v>
      </c>
      <c r="E21" s="2973" t="s">
        <v>1269</v>
      </c>
      <c r="F21" s="2973"/>
      <c r="G21" s="2973"/>
      <c r="H21" s="2973"/>
      <c r="I21" s="720"/>
      <c r="M21" s="595">
        <v>14</v>
      </c>
    </row>
    <row customHeight="1" ht="21">
      <c r="A22" s="2195"/>
      <c r="C22" s="608"/>
      <c r="D22" s="659" t="s">
        <v>1159</v>
      </c>
      <c r="E22" s="706" t="s">
        <v>1270</v>
      </c>
      <c r="F22" s="710"/>
      <c r="G22" s="60849">
        <v>45645.65032407407</v>
      </c>
      <c r="H22" s="710" t="s">
        <v>445</v>
      </c>
      <c r="I22" s="663" t="s">
        <v>1271</v>
      </c>
      <c r="M22" s="595">
        <v>20</v>
      </c>
    </row>
    <row customHeight="1" ht="60">
      <c r="A23" s="2195"/>
      <c r="C23" s="608"/>
      <c r="D23" s="659" t="s">
        <v>1161</v>
      </c>
      <c r="E23" s="706" t="s">
        <v>1272</v>
      </c>
      <c r="F23" s="710"/>
      <c r="G23" s="5770" t="s">
        <v>1273</v>
      </c>
      <c r="H23" s="5771" t="s">
        <v>1274</v>
      </c>
      <c r="I23" s="770" t="s">
        <v>1275</v>
      </c>
      <c r="M23" s="595">
        <v>57</v>
      </c>
    </row>
    <row customHeight="1" ht="15">
      <c r="A24" s="2195"/>
      <c r="B24" s="658">
        <v>3</v>
      </c>
      <c r="C24" s="608"/>
      <c r="D24" s="659">
        <v>2</v>
      </c>
      <c r="E24" s="7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710"/>
      <c r="G24" s="710" t="s">
        <v>445</v>
      </c>
      <c r="H24" s="5771" t="s">
        <v>1276</v>
      </c>
      <c r="I24" s="771" t="s">
        <v>769</v>
      </c>
      <c r="M24" s="595">
        <v>14</v>
      </c>
    </row>
    <row customHeight="1" ht="48.29999999999999">
      <c r="A25" s="2195"/>
      <c r="C25" s="608"/>
      <c r="D25" s="659">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72"/>
      <c r="G25" s="2972"/>
      <c r="H25" s="2972"/>
      <c r="I25" s="768"/>
      <c r="M25" s="595">
        <v>46</v>
      </c>
    </row>
    <row customHeight="1" ht="45">
      <c r="A26" s="2195"/>
      <c r="C26" s="608"/>
      <c r="D26" s="659" t="s">
        <v>463</v>
      </c>
      <c r="E26" s="711" t="s">
        <v>1277</v>
      </c>
      <c r="F26" s="710"/>
      <c r="G26" s="710" t="s">
        <v>445</v>
      </c>
      <c r="H26" s="5771" t="s">
        <v>1276</v>
      </c>
      <c r="I26" s="2681" t="s">
        <v>1278</v>
      </c>
      <c r="M26" s="595">
        <v>14</v>
      </c>
    </row>
    <row customHeight="1" ht="15.75">
      <c r="A27" s="2195" t="s">
        <v>101</v>
      </c>
      <c r="C27" s="608"/>
      <c r="D27" s="621"/>
      <c r="E27" s="715" t="s">
        <v>461</v>
      </c>
      <c r="F27" s="716"/>
      <c r="G27" s="716"/>
      <c r="H27" s="713"/>
      <c r="I27" s="2683"/>
      <c r="M27" s="595">
        <v>15</v>
      </c>
    </row>
    <row customHeight="1" ht="39.75">
      <c r="A28" s="2195"/>
      <c r="B28" s="658">
        <v>3</v>
      </c>
      <c r="C28" s="608"/>
      <c r="D28" s="659">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72"/>
      <c r="G28" s="2972"/>
      <c r="H28" s="2972"/>
      <c r="I28" s="768"/>
      <c r="M28" s="595">
        <v>38</v>
      </c>
    </row>
    <row customHeight="1" ht="21">
      <c r="A29" s="2195"/>
      <c r="C29" s="608"/>
      <c r="D29" s="659" t="s">
        <v>891</v>
      </c>
      <c r="E29" s="717" t="s">
        <v>1264</v>
      </c>
      <c r="F29" s="710"/>
      <c r="G29" s="769" t="s">
        <v>1277</v>
      </c>
      <c r="H29" s="710" t="s">
        <v>445</v>
      </c>
      <c r="I29" s="2681" t="s">
        <v>1279</v>
      </c>
      <c r="M29" s="595">
        <v>20</v>
      </c>
    </row>
    <row customHeight="1" ht="15.75">
      <c r="A30" s="2195" t="s">
        <v>105</v>
      </c>
      <c r="C30" s="608"/>
      <c r="D30" s="621"/>
      <c r="E30" s="715" t="s">
        <v>461</v>
      </c>
      <c r="F30" s="716"/>
      <c r="G30" s="716"/>
      <c r="H30" s="713"/>
      <c r="I30" s="2683"/>
      <c r="M30" s="595">
        <v>15</v>
      </c>
    </row>
    <row customHeight="1" ht="31.5">
      <c r="A31" s="2195"/>
      <c r="B31" s="658">
        <v>3</v>
      </c>
      <c r="C31" s="608"/>
      <c r="D31" s="659">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72"/>
      <c r="G31" s="2972"/>
      <c r="H31" s="2972"/>
      <c r="I31" s="768"/>
      <c r="M31" s="595">
        <v>30</v>
      </c>
    </row>
    <row customHeight="1" ht="27.299999999999997">
      <c r="A32" s="2195"/>
      <c r="C32" s="608"/>
      <c r="D32" s="659" t="s">
        <v>452</v>
      </c>
      <c r="E32" s="29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15"/>
      <c r="G32" s="2915"/>
      <c r="H32" s="2915"/>
      <c r="I32" s="768"/>
      <c r="M32" s="595">
        <v>26</v>
      </c>
    </row>
    <row customHeight="1" ht="15">
      <c r="A33" s="2195"/>
      <c r="C33" s="608"/>
      <c r="D33" s="659" t="s">
        <v>1280</v>
      </c>
      <c r="E33" s="718" t="s">
        <v>1265</v>
      </c>
      <c r="F33" s="710"/>
      <c r="G33" s="769" t="s">
        <v>1281</v>
      </c>
      <c r="H33" s="710" t="s">
        <v>445</v>
      </c>
      <c r="I33" s="2681" t="s">
        <v>1282</v>
      </c>
      <c r="M33" s="595">
        <v>14</v>
      </c>
    </row>
    <row customHeight="1" ht="15.75">
      <c r="A34" s="2195" t="s">
        <v>92</v>
      </c>
      <c r="C34" s="608"/>
      <c r="D34" s="621"/>
      <c r="E34" s="716" t="s">
        <v>461</v>
      </c>
      <c r="F34" s="712"/>
      <c r="G34" s="712"/>
      <c r="H34" s="713"/>
      <c r="I34" s="2683"/>
      <c r="M34" s="595">
        <v>15</v>
      </c>
    </row>
    <row customHeight="1" ht="25.2">
      <c r="A35" s="2195"/>
      <c r="C35" s="608"/>
      <c r="D35" s="659" t="s">
        <v>1019</v>
      </c>
      <c r="E35" s="29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915"/>
      <c r="G35" s="2915"/>
      <c r="H35" s="2915"/>
      <c r="I35" s="768"/>
      <c r="M35" s="595">
        <v>24</v>
      </c>
    </row>
    <row customHeight="1" ht="15">
      <c r="A36" s="2195"/>
      <c r="C36" s="608"/>
      <c r="D36" s="659" t="s">
        <v>1283</v>
      </c>
      <c r="E36" s="718" t="s">
        <v>1266</v>
      </c>
      <c r="F36" s="710"/>
      <c r="G36" s="769" t="s">
        <v>1284</v>
      </c>
      <c r="H36" s="710" t="s">
        <v>445</v>
      </c>
      <c r="I36" s="2655" t="s">
        <v>1285</v>
      </c>
      <c r="M36" s="595">
        <v>14</v>
      </c>
    </row>
    <row customHeight="1" ht="15.75">
      <c r="A37" s="2195" t="s">
        <v>93</v>
      </c>
      <c r="C37" s="608"/>
      <c r="D37" s="621"/>
      <c r="E37" s="716" t="s">
        <v>461</v>
      </c>
      <c r="F37" s="712"/>
      <c r="G37" s="712"/>
      <c r="H37" s="713"/>
      <c r="I37" s="2655"/>
      <c r="M37" s="595">
        <v>15</v>
      </c>
    </row>
    <row customHeight="1" ht="27.299999999999997">
      <c r="A38" s="2195"/>
      <c r="C38" s="608"/>
      <c r="D38" s="659" t="s">
        <v>1020</v>
      </c>
      <c r="E38" s="29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915"/>
      <c r="G38" s="2915"/>
      <c r="H38" s="2915"/>
      <c r="I38" s="768"/>
      <c r="M38" s="595">
        <v>26</v>
      </c>
    </row>
    <row customHeight="1" ht="15">
      <c r="A39" s="2195"/>
      <c r="C39" s="608"/>
      <c r="D39" s="659" t="s">
        <v>1021</v>
      </c>
      <c r="E39" s="718" t="s">
        <v>1267</v>
      </c>
      <c r="F39" s="710"/>
      <c r="G39" s="719" t="s">
        <v>1286</v>
      </c>
      <c r="H39" s="710" t="s">
        <v>445</v>
      </c>
      <c r="I39" s="2681" t="s">
        <v>1287</v>
      </c>
      <c r="L39" s="667" t="s">
        <v>1268</v>
      </c>
      <c r="M39" s="595">
        <v>14</v>
      </c>
    </row>
    <row customHeight="1" ht="15.75">
      <c r="A40" s="2195" t="s">
        <v>121</v>
      </c>
      <c r="C40" s="608"/>
      <c r="D40" s="621"/>
      <c r="E40" s="716" t="s">
        <v>461</v>
      </c>
      <c r="F40" s="712"/>
      <c r="G40" s="712"/>
      <c r="H40" s="713"/>
      <c r="I40" s="2683"/>
      <c r="M40" s="595">
        <v>15</v>
      </c>
    </row>
    <row s="60860" customFormat="1" customHeight="1" ht="3">
      <c r="A41" s="2195"/>
      <c r="K41" s="708"/>
      <c r="L41" s="708"/>
      <c r="M41" s="652">
        <v>3</v>
      </c>
    </row>
    <row customHeight="1" ht="26.25">
      <c r="D42" s="2193" t="s">
        <v>941</v>
      </c>
      <c r="E42" s="27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97"/>
      <c r="G42" s="2797"/>
      <c r="H42" s="2797"/>
      <c r="I42" s="2797"/>
      <c r="M42" s="595">
        <v>25</v>
      </c>
    </row>
    <row customHeight="1" ht="22.5" hidden="1">
      <c r="A43" s="1874" t="s">
        <v>84</v>
      </c>
      <c r="B43" s="658">
        <v>0</v>
      </c>
      <c r="C43" s="609">
        <v>3</v>
      </c>
      <c r="D43" s="595">
        <v>6</v>
      </c>
      <c r="E43" s="595">
        <v>63</v>
      </c>
      <c r="F43" s="595">
        <v>0</v>
      </c>
      <c r="G43" s="595">
        <v>35</v>
      </c>
      <c r="H43" s="595">
        <v>35</v>
      </c>
      <c r="I43" s="595">
        <v>91</v>
      </c>
      <c r="J43" s="595">
        <v>68</v>
      </c>
      <c r="K43" s="667">
        <v>10</v>
      </c>
      <c r="L43" s="667">
        <v>10</v>
      </c>
      <c r="M43" s="59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2" xr:uid="{F97F3609-AAA5-5C8F-EDBE-B691A22FDE31}"/>
    <hyperlink ref="H23" r:id="rId3" xr:uid="{9149D8DE-3446-34D7-BA9D-15F71E0205F5}"/>
    <hyperlink ref="H24" r:id="rId4" xr:uid="{27F35183-01D8-302B-72AE-96C0315661B7}"/>
    <hyperlink ref="H26" r:id="rId5" xr:uid="{6A6B48BA-A329-775B-E014-6C30A7D87C1E}"/>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893A35-4352-D658-BD68-F24CC043C248}"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60899" width="25.140625" hidden="1" customWidth="1"/>
    <col min="3" max="3" style="60900" width="9.140625" hidden="1" customWidth="1"/>
    <col min="4" max="4" style="51809" width="3.00390625" customWidth="1"/>
    <col min="5" max="5" style="50801" width="6.00390625" customWidth="1"/>
    <col min="6" max="6" style="50801" width="46.7109375" customWidth="1"/>
    <col min="7" max="7" style="50801" width="35.00390625" customWidth="1"/>
    <col min="8" max="8" style="50801" width="3.00390625" customWidth="1"/>
    <col min="9" max="10" style="50801" width="11.00390625" customWidth="1"/>
    <col min="11" max="12" style="50801" width="35.00390625" customWidth="1"/>
    <col min="13" max="13" style="50801" width="84.00390625" customWidth="1"/>
    <col min="14" max="14" style="50801" width="10.00390625" customWidth="1"/>
    <col min="15" max="16" style="50981" width="10.00390625" customWidth="1"/>
    <col min="17" max="33" style="50801" width="10.00390625" customWidth="1"/>
    <col min="34" max="34" style="50801" width="10.57421875" hidden="1"/>
  </cols>
  <sheetData>
    <row s="50801" customFormat="1" customHeight="1" ht="22.5" hidden="1">
      <c r="A1" s="2291"/>
      <c r="B1" s="2291"/>
      <c r="C1" s="881"/>
      <c r="D1" s="856"/>
      <c r="N1" s="2148">
        <f>_xlfn.IFERROR(MATCH("метод экономически обоснованных расходов (затрат)",OFFER_METHOD,0),0)</f>
        <v>0</v>
      </c>
      <c r="O1" s="2136"/>
      <c r="P1" s="2136"/>
      <c r="T1" s="1343"/>
      <c r="AG1" s="767"/>
      <c r="AH1" s="2143" t="s">
        <v>14</v>
      </c>
    </row>
    <row s="50801" customFormat="1" customHeight="1" ht="18.75" hidden="1">
      <c r="A2" s="2292" t="s">
        <v>215</v>
      </c>
      <c r="B2" s="2292" t="s">
        <v>216</v>
      </c>
      <c r="C2" s="881"/>
      <c r="D2" s="856"/>
      <c r="E2" s="1543"/>
      <c r="F2" s="1543"/>
      <c r="G2" s="2939" t="str">
        <f>INDEX(PT_DIFFERENTIATION_NTAR,MATCH(B2,PT_DIFFERENTIATION_NTAR_ID,0))</f>
        <v/>
      </c>
      <c r="H2" s="2376"/>
      <c r="I2" s="2251"/>
      <c r="J2" s="2285"/>
      <c r="K2" s="2377"/>
      <c r="L2" s="2376" t="s">
        <v>445</v>
      </c>
      <c r="M2" s="2387"/>
      <c r="N2" s="846"/>
      <c r="O2" s="2136"/>
      <c r="P2" s="2136"/>
      <c r="AH2" s="2143">
        <v>0</v>
      </c>
    </row>
    <row s="50801" customFormat="1" customHeight="1" ht="18.75" hidden="1">
      <c r="A3" s="2292"/>
      <c r="B3" s="2292"/>
      <c r="C3" s="881" t="s">
        <v>1288</v>
      </c>
      <c r="D3" s="856"/>
      <c r="E3" s="1543"/>
      <c r="F3" s="1543"/>
      <c r="G3" s="2939"/>
      <c r="H3" s="2012"/>
      <c r="I3" s="1163" t="s">
        <v>1289</v>
      </c>
      <c r="J3" s="1083"/>
      <c r="K3" s="2012"/>
      <c r="L3" s="726"/>
      <c r="M3" s="2387"/>
      <c r="N3" s="846"/>
      <c r="O3" s="2136"/>
      <c r="P3" s="2136"/>
      <c r="AH3" s="2143">
        <v>0</v>
      </c>
    </row>
    <row s="50801" customFormat="1" customHeight="1" ht="14.25" hidden="1">
      <c r="A4" s="2291"/>
      <c r="B4" s="2291"/>
      <c r="C4" s="881"/>
      <c r="D4" s="856"/>
      <c r="N4" s="2148">
        <f>_xlfn.IFERROR(MATCH("метод экономически обоснованных расходов (затрат)",OFFER_METHOD,0),0)</f>
        <v>0</v>
      </c>
      <c r="O4" s="2136"/>
      <c r="P4" s="2136"/>
      <c r="T4" s="1343"/>
      <c r="AG4" s="767"/>
      <c r="AH4" s="2143">
        <v>0</v>
      </c>
    </row>
    <row s="50801" customFormat="1" customHeight="1" ht="18.75" hidden="1">
      <c r="A5" s="2292" t="s">
        <v>215</v>
      </c>
      <c r="B5" s="2292" t="s">
        <v>216</v>
      </c>
      <c r="C5" s="881"/>
      <c r="D5" s="856"/>
      <c r="E5" s="1543"/>
      <c r="F5" s="1543"/>
      <c r="G5" s="2939" t="str">
        <f>INDEX(PT_DIFFERENTIATION_NTAR,MATCH(B5,PT_DIFFERENTIATION_NTAR_ID,0))</f>
        <v/>
      </c>
      <c r="H5" s="2376"/>
      <c r="I5" s="2251"/>
      <c r="J5" s="2285"/>
      <c r="K5" s="2290"/>
      <c r="L5" s="2376" t="s">
        <v>445</v>
      </c>
      <c r="M5" s="2387"/>
      <c r="N5" s="846"/>
      <c r="O5" s="2136"/>
      <c r="P5" s="2136"/>
      <c r="AH5" s="2143">
        <v>0</v>
      </c>
    </row>
    <row s="50801" customFormat="1" customHeight="1" ht="18.75" hidden="1">
      <c r="A6" s="2292"/>
      <c r="B6" s="2292"/>
      <c r="C6" s="881" t="s">
        <v>1290</v>
      </c>
      <c r="D6" s="856"/>
      <c r="E6" s="1543"/>
      <c r="F6" s="1543"/>
      <c r="G6" s="2939"/>
      <c r="H6" s="2012"/>
      <c r="I6" s="1163" t="s">
        <v>1289</v>
      </c>
      <c r="J6" s="1083"/>
      <c r="K6" s="2012"/>
      <c r="L6" s="726"/>
      <c r="M6" s="2387"/>
      <c r="N6" s="846"/>
      <c r="O6" s="2136"/>
      <c r="P6" s="2136"/>
      <c r="AH6" s="2143">
        <v>0</v>
      </c>
    </row>
    <row s="50801" customFormat="1" customHeight="1" ht="14.25" hidden="1">
      <c r="A7" s="2291"/>
      <c r="B7" s="2291"/>
      <c r="C7" s="881"/>
      <c r="D7" s="856"/>
      <c r="N7" s="2148">
        <f>_xlfn.IFERROR(MATCH("метод экономически обоснованных расходов (затрат)",OFFER_METHOD,0),0)</f>
        <v>0</v>
      </c>
      <c r="O7" s="2136"/>
      <c r="P7" s="2136"/>
      <c r="T7" s="1343"/>
      <c r="AG7" s="767"/>
      <c r="AH7" s="2143">
        <v>0</v>
      </c>
    </row>
    <row s="50801" customFormat="1" customHeight="1" ht="56.25" hidden="1">
      <c r="A8" s="2292"/>
      <c r="B8" s="2292"/>
      <c r="C8" s="881"/>
      <c r="D8" s="856"/>
      <c r="E8" s="1543"/>
      <c r="F8" s="1543"/>
      <c r="G8" s="1543"/>
      <c r="H8" s="2283"/>
      <c r="I8" s="2251"/>
      <c r="J8" s="2285"/>
      <c r="K8" s="2377"/>
      <c r="L8" s="2283" t="s">
        <v>445</v>
      </c>
      <c r="M8" s="2387"/>
      <c r="N8" s="846"/>
      <c r="O8" s="2136"/>
      <c r="P8" s="2136"/>
      <c r="AH8" s="2143">
        <v>0</v>
      </c>
    </row>
    <row customHeight="1" ht="14.25" hidden="1">
      <c r="T9" s="909"/>
      <c r="AG9" s="767"/>
      <c r="AH9" s="886">
        <v>0</v>
      </c>
    </row>
    <row s="50801" customFormat="1" customHeight="1" ht="56.25" hidden="1">
      <c r="A10" s="2292"/>
      <c r="B10" s="2292"/>
      <c r="C10" s="881"/>
      <c r="D10" s="856"/>
      <c r="E10" s="1543"/>
      <c r="F10" s="1543"/>
      <c r="G10" s="1543"/>
      <c r="H10" s="2282"/>
      <c r="I10" s="2251"/>
      <c r="J10" s="2285"/>
      <c r="K10" s="2290"/>
      <c r="L10" s="2283" t="s">
        <v>445</v>
      </c>
      <c r="M10" s="2387"/>
      <c r="N10" s="846"/>
      <c r="O10" s="2136"/>
      <c r="P10" s="2136"/>
      <c r="AH10" s="2143">
        <v>0</v>
      </c>
    </row>
    <row customHeight="1" ht="14.25" hidden="1">
      <c r="AH11" s="886">
        <v>0</v>
      </c>
    </row>
    <row customHeight="1" ht="14.25" hidden="1">
      <c r="AH12" s="886">
        <v>0</v>
      </c>
    </row>
    <row customHeight="1" ht="6.3">
      <c r="D13" s="888"/>
      <c r="E13" s="875"/>
      <c r="F13" s="875"/>
      <c r="G13" s="875"/>
      <c r="H13" s="875"/>
      <c r="I13" s="875"/>
      <c r="J13" s="875"/>
      <c r="K13" s="875"/>
      <c r="L13" s="597"/>
      <c r="M13" s="597"/>
      <c r="AH13" s="886">
        <v>6</v>
      </c>
    </row>
    <row customHeight="1" ht="14.699999999999998">
      <c r="D14" s="888"/>
      <c r="E14" s="29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77"/>
      <c r="G14" s="2977"/>
      <c r="H14" s="2977"/>
      <c r="I14" s="2977"/>
      <c r="J14" s="2977"/>
      <c r="K14" s="2977"/>
      <c r="L14" s="2977"/>
      <c r="M14" s="732"/>
      <c r="AH14" s="886">
        <v>14</v>
      </c>
    </row>
    <row customHeight="1" ht="6.3">
      <c r="D15" s="888"/>
      <c r="E15" s="875"/>
      <c r="F15" s="901"/>
      <c r="G15" s="901"/>
      <c r="H15" s="901"/>
      <c r="I15" s="901"/>
      <c r="J15" s="901"/>
      <c r="K15" s="901"/>
      <c r="L15" s="834"/>
      <c r="M15" s="705"/>
      <c r="AH15" s="886">
        <v>6</v>
      </c>
    </row>
    <row customHeight="1" ht="24">
      <c r="D16" s="888"/>
      <c r="E16" s="875"/>
      <c r="F16" s="817" t="str">
        <f>"Дата подачи заявления об "&amp;IF(TITLE_DATE_PR_CHANGE="","утверждении","изменении")&amp;" тарифов"</f>
        <v>Дата подачи заявления об изменении тарифов</v>
      </c>
      <c r="G16" s="2776" t="str">
        <f>IF(TITLE_DATE_PR_CHANGE="",IF(TITLE_DATE_PR="","",TITLE_DATE_PR),TITLE_DATE_PR_CHANGE)</f>
        <v>45631.710694444446</v>
      </c>
      <c r="H16" s="2776"/>
      <c r="I16" s="2776"/>
      <c r="J16" s="2776"/>
      <c r="K16" s="2776"/>
      <c r="L16" s="2776"/>
      <c r="M16" s="910"/>
      <c r="N16" s="838"/>
      <c r="AH16" s="886">
        <v>23</v>
      </c>
    </row>
    <row customHeight="1" ht="24">
      <c r="D17" s="888"/>
      <c r="E17" s="875"/>
      <c r="F17" s="817" t="str">
        <f>"Номер подачи заявления об "&amp;IF(TITLE_DATE_PR_CHANGE="","утверждении","изменении")&amp;" тарифов"</f>
        <v>Номер подачи заявления об изменении тарифов</v>
      </c>
      <c r="G17" s="2763" t="str">
        <f>IF(TITLE_NUMBER_PR_CHANGE="",IF(TITLE_NUMBER_PR="","",TITLE_NUMBER_PR),TITLE_NUMBER_PR_CHANGE)</f>
        <v>53/9</v>
      </c>
      <c r="H17" s="2763"/>
      <c r="I17" s="2763"/>
      <c r="J17" s="2763"/>
      <c r="K17" s="2763"/>
      <c r="L17" s="2763"/>
      <c r="M17" s="910"/>
      <c r="N17" s="838"/>
      <c r="AH17" s="886">
        <v>23</v>
      </c>
    </row>
    <row customHeight="1" ht="14.699999999999998">
      <c r="D18" s="888"/>
      <c r="E18" s="875"/>
      <c r="F18" s="901"/>
      <c r="G18" s="901"/>
      <c r="H18" s="901"/>
      <c r="I18" s="901"/>
      <c r="J18" s="901"/>
      <c r="K18" s="901"/>
      <c r="L18" s="1264"/>
      <c r="M18" s="705"/>
      <c r="AH18" s="886">
        <v>14</v>
      </c>
    </row>
    <row customHeight="1" ht="22.049999999999997">
      <c r="D19" s="888"/>
      <c r="E19" s="2721" t="s">
        <v>439</v>
      </c>
      <c r="F19" s="2721"/>
      <c r="G19" s="2721"/>
      <c r="H19" s="2721"/>
      <c r="I19" s="2721"/>
      <c r="J19" s="2721"/>
      <c r="K19" s="2721"/>
      <c r="L19" s="2721"/>
      <c r="M19" s="2901" t="s">
        <v>440</v>
      </c>
      <c r="AH19" s="886">
        <v>21</v>
      </c>
    </row>
    <row customHeight="1" ht="22.049999999999997">
      <c r="D20" s="888"/>
      <c r="E20" s="2789" t="s">
        <v>90</v>
      </c>
      <c r="F20" s="2736" t="s">
        <v>188</v>
      </c>
      <c r="G20" s="2736" t="s">
        <v>189</v>
      </c>
      <c r="H20" s="2898" t="s">
        <v>1291</v>
      </c>
      <c r="I20" s="2899"/>
      <c r="J20" s="2945"/>
      <c r="K20" s="2736" t="s">
        <v>442</v>
      </c>
      <c r="L20" s="2736" t="s">
        <v>529</v>
      </c>
      <c r="M20" s="2901"/>
      <c r="AH20" s="886">
        <v>21</v>
      </c>
    </row>
    <row customHeight="1" ht="22.049999999999997">
      <c r="D21" s="888"/>
      <c r="E21" s="2791"/>
      <c r="F21" s="2737"/>
      <c r="G21" s="2737"/>
      <c r="H21" s="2730" t="s">
        <v>1292</v>
      </c>
      <c r="I21" s="2732"/>
      <c r="J21" s="620" t="s">
        <v>1293</v>
      </c>
      <c r="K21" s="2737"/>
      <c r="L21" s="2737"/>
      <c r="M21" s="2901"/>
      <c r="AH21" s="886">
        <v>21</v>
      </c>
    </row>
    <row customHeight="1" ht="12.75">
      <c r="D22" s="888"/>
      <c r="E22" s="793"/>
      <c r="F22" s="793"/>
      <c r="G22" s="793"/>
      <c r="H22" s="2979"/>
      <c r="I22" s="2979"/>
      <c r="J22" s="793"/>
      <c r="K22" s="793"/>
      <c r="L22" s="793"/>
      <c r="M22" s="793"/>
      <c r="AH22" s="886">
        <v>12</v>
      </c>
    </row>
    <row customHeight="1" ht="19.95">
      <c r="A23" s="2292"/>
      <c r="B23" s="2292"/>
      <c r="D23" s="888"/>
      <c r="E23" s="2378" t="s">
        <v>101</v>
      </c>
      <c r="F23" s="2980" t="str">
        <f>"Предлагаемый метод регулирования"&amp;IF(TEMPLATE_SPHERE="HEAT"," в сфере "&amp;TEMPLATE_SPHERE_RUS,"")</f>
        <v>Предлагаемый метод регулирования</v>
      </c>
      <c r="G23" s="2981"/>
      <c r="H23" s="2973"/>
      <c r="I23" s="2973"/>
      <c r="J23" s="2973"/>
      <c r="K23" s="2981" t="s">
        <v>445</v>
      </c>
      <c r="L23" s="2973"/>
      <c r="M23" s="2281"/>
      <c r="N23" s="846"/>
      <c r="AH23" s="886">
        <v>19</v>
      </c>
    </row>
    <row customHeight="1" ht="60.75" hidden="1">
      <c r="A24" s="2292" t="s">
        <v>215</v>
      </c>
      <c r="B24" s="2292" t="s">
        <v>216</v>
      </c>
      <c r="D24" s="2978"/>
      <c r="E24" s="2716"/>
      <c r="F24" s="29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9" t="str">
        <f>INDEX(PT_DIFFERENTIATION_NTAR,MATCH(B24,PT_DIFFERENTIATION_NTAR_ID,0))</f>
        <v/>
      </c>
      <c r="H24" s="2374"/>
      <c r="I24" s="2251"/>
      <c r="J24" s="2285"/>
      <c r="K24" s="2377"/>
      <c r="L24" s="2280" t="s">
        <v>445</v>
      </c>
      <c r="M24"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6"/>
      <c r="AH24" s="886">
        <v>0</v>
      </c>
    </row>
    <row s="50801" customFormat="1" customHeight="1" ht="18.75" hidden="1">
      <c r="A25" s="2292"/>
      <c r="B25" s="2292"/>
      <c r="C25" s="881" t="s">
        <v>1288</v>
      </c>
      <c r="D25" s="2978"/>
      <c r="E25" s="2716"/>
      <c r="F25" s="2982"/>
      <c r="G25" s="2939"/>
      <c r="H25" s="2012"/>
      <c r="I25" s="1163" t="s">
        <v>1289</v>
      </c>
      <c r="J25" s="1083"/>
      <c r="K25" s="2012"/>
      <c r="L25" s="726"/>
      <c r="M25" s="2682"/>
      <c r="N25" s="846"/>
      <c r="O25" s="2136"/>
      <c r="P25" s="2136"/>
      <c r="AH25" s="2143">
        <v>0</v>
      </c>
    </row>
    <row customHeight="1" ht="0.75" hidden="1">
      <c r="A26" s="2292"/>
      <c r="B26" s="2292"/>
      <c r="C26" s="881" t="s">
        <v>1294</v>
      </c>
      <c r="D26" s="2978"/>
      <c r="E26" s="2716"/>
      <c r="F26" s="2895"/>
      <c r="G26" s="912"/>
      <c r="H26" s="2012"/>
      <c r="I26" s="907"/>
      <c r="J26" s="861"/>
      <c r="K26" s="2012"/>
      <c r="L26" s="713"/>
      <c r="M26" s="2682"/>
      <c r="N26" s="846"/>
      <c r="AH26" s="886">
        <v>0</v>
      </c>
    </row>
    <row s="50801" customFormat="1" customHeight="1" ht="45" hidden="1">
      <c r="A27" s="2292" t="s">
        <v>220</v>
      </c>
      <c r="B27" s="2292" t="s">
        <v>221</v>
      </c>
      <c r="C27" s="881"/>
      <c r="D27" s="2974"/>
      <c r="E27" s="2975"/>
      <c r="F27" s="2976" t="str">
        <f>INDEX(PT_DIFFERENTIATION_VTAR,MATCH(A27,PT_DIFFERENTIATION_VTAR_ID,0))</f>
        <v/>
      </c>
      <c r="G27" s="2939" t="str">
        <f>INDEX(PT_DIFFERENTIATION_NTAR,MATCH(B27,PT_DIFFERENTIATION_NTAR_ID,0))</f>
        <v/>
      </c>
      <c r="H27" s="2374"/>
      <c r="I27" s="2251"/>
      <c r="J27" s="2285"/>
      <c r="K27" s="2377"/>
      <c r="L27" s="2374" t="s">
        <v>445</v>
      </c>
      <c r="M27" s="2682"/>
      <c r="N27" s="846"/>
      <c r="O27" s="2136"/>
      <c r="P27" s="2136"/>
      <c r="AH27" s="2143">
        <v>0</v>
      </c>
    </row>
    <row s="50801" customFormat="1" customHeight="1" ht="18.75" hidden="1">
      <c r="A28" s="2292"/>
      <c r="B28" s="2292"/>
      <c r="C28" s="881" t="s">
        <v>1288</v>
      </c>
      <c r="D28" s="2974"/>
      <c r="E28" s="2975"/>
      <c r="F28" s="2976"/>
      <c r="G28" s="2939"/>
      <c r="H28" s="2012"/>
      <c r="I28" s="1163" t="s">
        <v>1289</v>
      </c>
      <c r="J28" s="1083"/>
      <c r="K28" s="2012"/>
      <c r="L28" s="726"/>
      <c r="M28" s="2682"/>
      <c r="N28" s="846"/>
      <c r="O28" s="2136"/>
      <c r="P28" s="2136"/>
      <c r="AH28" s="2143">
        <v>0</v>
      </c>
    </row>
    <row s="50801" customFormat="1" customHeight="1" ht="0.75" hidden="1">
      <c r="A29" s="2292"/>
      <c r="B29" s="2292"/>
      <c r="C29" s="881" t="s">
        <v>1294</v>
      </c>
      <c r="D29" s="2974"/>
      <c r="E29" s="2716"/>
      <c r="F29" s="2895"/>
      <c r="G29" s="912"/>
      <c r="H29" s="2012"/>
      <c r="I29" s="1163"/>
      <c r="J29" s="1083"/>
      <c r="K29" s="2012"/>
      <c r="L29" s="726"/>
      <c r="M29" s="2682"/>
      <c r="N29" s="846"/>
      <c r="O29" s="2136"/>
      <c r="P29" s="2136"/>
      <c r="AH29" s="2143">
        <v>0</v>
      </c>
    </row>
    <row s="50801" customFormat="1" customHeight="1" ht="45" hidden="1">
      <c r="A30" s="2292" t="s">
        <v>227</v>
      </c>
      <c r="B30" s="2292" t="s">
        <v>228</v>
      </c>
      <c r="C30" s="881"/>
      <c r="D30" s="2974"/>
      <c r="E30" s="2716"/>
      <c r="F30" s="28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9" t="str">
        <f>INDEX(PT_DIFFERENTIATION_NTAR,MATCH(B30,PT_DIFFERENTIATION_NTAR_ID,0))</f>
        <v/>
      </c>
      <c r="H30" s="2374"/>
      <c r="I30" s="2251"/>
      <c r="J30" s="2285"/>
      <c r="K30" s="2377"/>
      <c r="L30" s="2374" t="s">
        <v>445</v>
      </c>
      <c r="M30" s="2682"/>
      <c r="N30" s="846"/>
      <c r="O30" s="2136"/>
      <c r="P30" s="2136"/>
      <c r="AH30" s="2143">
        <v>0</v>
      </c>
    </row>
    <row s="50801" customFormat="1" customHeight="1" ht="18.75" hidden="1">
      <c r="A31" s="2292"/>
      <c r="B31" s="2292"/>
      <c r="C31" s="881" t="s">
        <v>1288</v>
      </c>
      <c r="D31" s="2974"/>
      <c r="E31" s="2716"/>
      <c r="F31" s="2895"/>
      <c r="G31" s="2939"/>
      <c r="H31" s="2012"/>
      <c r="I31" s="1163" t="s">
        <v>1289</v>
      </c>
      <c r="J31" s="1083"/>
      <c r="K31" s="2012"/>
      <c r="L31" s="726"/>
      <c r="M31" s="2682"/>
      <c r="N31" s="846"/>
      <c r="O31" s="2136"/>
      <c r="P31" s="2136"/>
      <c r="AH31" s="2143">
        <v>0</v>
      </c>
    </row>
    <row s="50801" customFormat="1" customHeight="1" ht="0.75" hidden="1">
      <c r="A32" s="2292"/>
      <c r="B32" s="2292"/>
      <c r="C32" s="881" t="s">
        <v>1294</v>
      </c>
      <c r="D32" s="2974"/>
      <c r="E32" s="2716"/>
      <c r="F32" s="2895"/>
      <c r="G32" s="912"/>
      <c r="H32" s="2012"/>
      <c r="I32" s="1163"/>
      <c r="J32" s="1083"/>
      <c r="K32" s="2012"/>
      <c r="L32" s="726"/>
      <c r="M32" s="2682"/>
      <c r="N32" s="846"/>
      <c r="O32" s="2136"/>
      <c r="P32" s="2136"/>
      <c r="AH32" s="2143">
        <v>0</v>
      </c>
    </row>
    <row s="50801" customFormat="1" customHeight="1" ht="45" hidden="1">
      <c r="A33" s="2292" t="s">
        <v>233</v>
      </c>
      <c r="B33" s="2292" t="s">
        <v>234</v>
      </c>
      <c r="C33" s="881"/>
      <c r="D33" s="2974"/>
      <c r="E33" s="2716"/>
      <c r="F33" s="28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9" t="str">
        <f>INDEX(PT_DIFFERENTIATION_NTAR,MATCH(B33,PT_DIFFERENTIATION_NTAR_ID,0))</f>
        <v/>
      </c>
      <c r="H33" s="2374"/>
      <c r="I33" s="2251"/>
      <c r="J33" s="2285"/>
      <c r="K33" s="2377"/>
      <c r="L33" s="2374" t="s">
        <v>445</v>
      </c>
      <c r="M33" s="2682"/>
      <c r="N33" s="846"/>
      <c r="O33" s="2136"/>
      <c r="P33" s="2136"/>
      <c r="AH33" s="2143">
        <v>0</v>
      </c>
    </row>
    <row s="50801" customFormat="1" customHeight="1" ht="18.75" hidden="1">
      <c r="A34" s="2292"/>
      <c r="B34" s="2292"/>
      <c r="C34" s="881" t="s">
        <v>1288</v>
      </c>
      <c r="D34" s="2974"/>
      <c r="E34" s="2716"/>
      <c r="F34" s="2895"/>
      <c r="G34" s="2939"/>
      <c r="H34" s="2012"/>
      <c r="I34" s="1163" t="s">
        <v>1289</v>
      </c>
      <c r="J34" s="1083"/>
      <c r="K34" s="2012"/>
      <c r="L34" s="726"/>
      <c r="M34" s="2682"/>
      <c r="N34" s="846"/>
      <c r="O34" s="2136"/>
      <c r="P34" s="2136"/>
      <c r="AH34" s="2143">
        <v>0</v>
      </c>
    </row>
    <row s="50801" customFormat="1" customHeight="1" ht="0.75" hidden="1">
      <c r="A35" s="2292"/>
      <c r="B35" s="2292"/>
      <c r="C35" s="881" t="s">
        <v>1294</v>
      </c>
      <c r="D35" s="2974"/>
      <c r="E35" s="2716"/>
      <c r="F35" s="2895"/>
      <c r="G35" s="912"/>
      <c r="H35" s="2012"/>
      <c r="I35" s="1163"/>
      <c r="J35" s="1083"/>
      <c r="K35" s="2012"/>
      <c r="L35" s="726"/>
      <c r="M35" s="2682"/>
      <c r="N35" s="846"/>
      <c r="O35" s="2136"/>
      <c r="P35" s="2136"/>
      <c r="AH35" s="2143">
        <v>0</v>
      </c>
    </row>
    <row s="50801" customFormat="1" customHeight="1" ht="18.75" hidden="1">
      <c r="A36" s="2292" t="s">
        <v>239</v>
      </c>
      <c r="B36" s="2292" t="s">
        <v>240</v>
      </c>
      <c r="C36" s="881"/>
      <c r="D36" s="2974"/>
      <c r="E36" s="2716"/>
      <c r="F36" s="2895" t="str">
        <f>INDEX(PT_DIFFERENTIATION_VTAR,MATCH(A36,PT_DIFFERENTIATION_VTAR_ID,0))</f>
        <v>Тарифы на услуги по передаче тепловой энергии</v>
      </c>
      <c r="G36" s="2939" t="str">
        <f>INDEX(PT_DIFFERENTIATION_NTAR,MATCH(B36,PT_DIFFERENTIATION_NTAR_ID,0))</f>
        <v/>
      </c>
      <c r="H36" s="2374"/>
      <c r="I36" s="2251"/>
      <c r="J36" s="2285"/>
      <c r="K36" s="2377"/>
      <c r="L36" s="2374" t="s">
        <v>445</v>
      </c>
      <c r="M36" s="2682"/>
      <c r="N36" s="846"/>
      <c r="O36" s="2136"/>
      <c r="P36" s="2136"/>
      <c r="AH36" s="2143">
        <v>0</v>
      </c>
    </row>
    <row s="50801" customFormat="1" customHeight="1" ht="18.75" hidden="1">
      <c r="A37" s="2292"/>
      <c r="B37" s="2292"/>
      <c r="C37" s="881" t="s">
        <v>1288</v>
      </c>
      <c r="D37" s="2974"/>
      <c r="E37" s="2716"/>
      <c r="F37" s="2895"/>
      <c r="G37" s="2939"/>
      <c r="H37" s="2012"/>
      <c r="I37" s="1163" t="s">
        <v>1289</v>
      </c>
      <c r="J37" s="1083"/>
      <c r="K37" s="2012"/>
      <c r="L37" s="726"/>
      <c r="M37" s="2682"/>
      <c r="N37" s="846"/>
      <c r="O37" s="2136"/>
      <c r="P37" s="2136"/>
      <c r="AH37" s="2143">
        <v>0</v>
      </c>
    </row>
    <row s="50801" customFormat="1" customHeight="1" ht="0.75" hidden="1">
      <c r="A38" s="2292"/>
      <c r="B38" s="2292"/>
      <c r="C38" s="881" t="s">
        <v>1294</v>
      </c>
      <c r="D38" s="2974"/>
      <c r="E38" s="2716"/>
      <c r="F38" s="2895"/>
      <c r="G38" s="912"/>
      <c r="H38" s="2012"/>
      <c r="I38" s="1163"/>
      <c r="J38" s="1083"/>
      <c r="K38" s="2012"/>
      <c r="L38" s="726"/>
      <c r="M38" s="2682"/>
      <c r="N38" s="846"/>
      <c r="O38" s="2136"/>
      <c r="P38" s="2136"/>
      <c r="AH38" s="2143">
        <v>0</v>
      </c>
    </row>
    <row s="50801" customFormat="1" customHeight="1" ht="18.75" hidden="1">
      <c r="A39" s="2292" t="s">
        <v>245</v>
      </c>
      <c r="B39" s="2292" t="s">
        <v>246</v>
      </c>
      <c r="C39" s="881"/>
      <c r="D39" s="2974"/>
      <c r="E39" s="2716"/>
      <c r="F39" s="2895" t="str">
        <f>INDEX(PT_DIFFERENTIATION_VTAR,MATCH(A39,PT_DIFFERENTIATION_VTAR_ID,0))</f>
        <v>Тарифы на услуги по передаче теплоносителя</v>
      </c>
      <c r="G39" s="2939" t="str">
        <f>INDEX(PT_DIFFERENTIATION_NTAR,MATCH(B39,PT_DIFFERENTIATION_NTAR_ID,0))</f>
        <v/>
      </c>
      <c r="H39" s="2374"/>
      <c r="I39" s="2251"/>
      <c r="J39" s="2285"/>
      <c r="K39" s="2377"/>
      <c r="L39" s="2374" t="s">
        <v>445</v>
      </c>
      <c r="M39" s="2682"/>
      <c r="N39" s="846"/>
      <c r="O39" s="2136"/>
      <c r="P39" s="2136"/>
      <c r="AH39" s="2143">
        <v>0</v>
      </c>
    </row>
    <row s="50801" customFormat="1" customHeight="1" ht="18.75" hidden="1">
      <c r="A40" s="2292"/>
      <c r="B40" s="2292"/>
      <c r="C40" s="881" t="s">
        <v>1288</v>
      </c>
      <c r="D40" s="2974"/>
      <c r="E40" s="2716"/>
      <c r="F40" s="2895"/>
      <c r="G40" s="2939"/>
      <c r="H40" s="2012"/>
      <c r="I40" s="1163" t="s">
        <v>1289</v>
      </c>
      <c r="J40" s="1083"/>
      <c r="K40" s="2012"/>
      <c r="L40" s="726"/>
      <c r="M40" s="2682"/>
      <c r="N40" s="846"/>
      <c r="O40" s="2136"/>
      <c r="P40" s="2136"/>
      <c r="AH40" s="2143">
        <v>0</v>
      </c>
    </row>
    <row s="50801" customFormat="1" customHeight="1" ht="0.75" hidden="1">
      <c r="A41" s="2292"/>
      <c r="B41" s="2292"/>
      <c r="C41" s="881" t="s">
        <v>1294</v>
      </c>
      <c r="D41" s="2974"/>
      <c r="E41" s="2716"/>
      <c r="F41" s="2895"/>
      <c r="G41" s="912"/>
      <c r="H41" s="2012"/>
      <c r="I41" s="1163"/>
      <c r="J41" s="1083"/>
      <c r="K41" s="2012"/>
      <c r="L41" s="726"/>
      <c r="M41" s="2682"/>
      <c r="N41" s="846"/>
      <c r="O41" s="2136"/>
      <c r="P41" s="2136"/>
      <c r="AH41" s="2143">
        <v>0</v>
      </c>
    </row>
    <row s="50801" customFormat="1" customHeight="1" ht="18.75" hidden="1">
      <c r="A42" s="2292" t="s">
        <v>251</v>
      </c>
      <c r="B42" s="2292" t="s">
        <v>252</v>
      </c>
      <c r="C42" s="881"/>
      <c r="D42" s="2974"/>
      <c r="E42" s="2716"/>
      <c r="F42" s="28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9" t="str">
        <f>INDEX(PT_DIFFERENTIATION_NTAR,MATCH(B42,PT_DIFFERENTIATION_NTAR_ID,0))</f>
        <v/>
      </c>
      <c r="H42" s="2374"/>
      <c r="I42" s="2251"/>
      <c r="J42" s="2285"/>
      <c r="K42" s="2377"/>
      <c r="L42" s="2374" t="s">
        <v>445</v>
      </c>
      <c r="M42" s="2682"/>
      <c r="N42" s="846"/>
      <c r="O42" s="2136"/>
      <c r="P42" s="2136"/>
      <c r="AH42" s="2143">
        <v>0</v>
      </c>
    </row>
    <row s="50801" customFormat="1" customHeight="1" ht="18.75" hidden="1">
      <c r="A43" s="2292"/>
      <c r="B43" s="2292"/>
      <c r="C43" s="881" t="s">
        <v>1288</v>
      </c>
      <c r="D43" s="2974"/>
      <c r="E43" s="2716"/>
      <c r="F43" s="2895"/>
      <c r="G43" s="2939"/>
      <c r="H43" s="2012"/>
      <c r="I43" s="1163" t="s">
        <v>1289</v>
      </c>
      <c r="J43" s="1083"/>
      <c r="K43" s="2012"/>
      <c r="L43" s="726"/>
      <c r="M43" s="2682"/>
      <c r="N43" s="846"/>
      <c r="O43" s="2136"/>
      <c r="P43" s="2136"/>
      <c r="AH43" s="2143">
        <v>0</v>
      </c>
    </row>
    <row s="50801" customFormat="1" customHeight="1" ht="0.75" hidden="1">
      <c r="A44" s="2292"/>
      <c r="B44" s="2292"/>
      <c r="C44" s="881" t="s">
        <v>1294</v>
      </c>
      <c r="D44" s="2974"/>
      <c r="E44" s="2716"/>
      <c r="F44" s="2895"/>
      <c r="G44" s="912"/>
      <c r="H44" s="2012"/>
      <c r="I44" s="1163"/>
      <c r="J44" s="1083"/>
      <c r="K44" s="2012"/>
      <c r="L44" s="726"/>
      <c r="M44" s="2682"/>
      <c r="N44" s="846"/>
      <c r="O44" s="2136"/>
      <c r="P44" s="2136"/>
      <c r="AH44" s="2143">
        <v>0</v>
      </c>
    </row>
    <row s="50801" customFormat="1" customHeight="1" ht="18.75" hidden="1">
      <c r="A45" s="2292" t="s">
        <v>257</v>
      </c>
      <c r="B45" s="2292" t="s">
        <v>258</v>
      </c>
      <c r="C45" s="881"/>
      <c r="D45" s="2974"/>
      <c r="E45" s="2716"/>
      <c r="F45" s="2895" t="str">
        <f>INDEX(PT_DIFFERENTIATION_VTAR,MATCH(A45,PT_DIFFERENTIATION_VTAR_ID,0))</f>
        <v>Плата за подключение (технологическое присоединение) к системе теплоснабжения</v>
      </c>
      <c r="G45" s="2939" t="str">
        <f>INDEX(PT_DIFFERENTIATION_NTAR,MATCH(B45,PT_DIFFERENTIATION_NTAR_ID,0))</f>
        <v/>
      </c>
      <c r="H45" s="2374"/>
      <c r="I45" s="2251"/>
      <c r="J45" s="2285"/>
      <c r="K45" s="2377"/>
      <c r="L45" s="2374" t="s">
        <v>445</v>
      </c>
      <c r="M45" s="2682"/>
      <c r="N45" s="846"/>
      <c r="O45" s="2136"/>
      <c r="P45" s="2136"/>
      <c r="AH45" s="2143">
        <v>0</v>
      </c>
    </row>
    <row s="50801" customFormat="1" customHeight="1" ht="18.75" hidden="1">
      <c r="A46" s="2292"/>
      <c r="B46" s="2292"/>
      <c r="C46" s="881" t="s">
        <v>1288</v>
      </c>
      <c r="D46" s="2974"/>
      <c r="E46" s="2716"/>
      <c r="F46" s="2895"/>
      <c r="G46" s="2939"/>
      <c r="H46" s="2012"/>
      <c r="I46" s="1163" t="s">
        <v>1289</v>
      </c>
      <c r="J46" s="1083"/>
      <c r="K46" s="2012"/>
      <c r="L46" s="726"/>
      <c r="M46" s="2682"/>
      <c r="N46" s="846"/>
      <c r="O46" s="2136"/>
      <c r="P46" s="2136"/>
      <c r="AH46" s="2143">
        <v>0</v>
      </c>
    </row>
    <row s="50801" customFormat="1" customHeight="1" ht="0.75" hidden="1">
      <c r="A47" s="2292"/>
      <c r="B47" s="2292"/>
      <c r="C47" s="881" t="s">
        <v>1294</v>
      </c>
      <c r="D47" s="2974"/>
      <c r="E47" s="2716"/>
      <c r="F47" s="2895"/>
      <c r="G47" s="912"/>
      <c r="H47" s="2012"/>
      <c r="I47" s="1163"/>
      <c r="J47" s="1083"/>
      <c r="K47" s="2012"/>
      <c r="L47" s="726"/>
      <c r="M47" s="2682"/>
      <c r="N47" s="846"/>
      <c r="O47" s="2136"/>
      <c r="P47" s="2136"/>
      <c r="AH47" s="2143">
        <v>0</v>
      </c>
    </row>
    <row s="50801" customFormat="1" customHeight="1" ht="18.75" hidden="1">
      <c r="A48" s="2292" t="s">
        <v>263</v>
      </c>
      <c r="B48" s="2292" t="s">
        <v>264</v>
      </c>
      <c r="C48" s="881"/>
      <c r="D48" s="2974"/>
      <c r="E48" s="2716"/>
      <c r="F48" s="2895" t="str">
        <f>INDEX(PT_DIFFERENTIATION_VTAR,MATCH(A48,PT_DIFFERENTIATION_VTAR_ID,0))</f>
        <v>Плата за подключение (технологическое присоединение) к системе теплоснабжения (индивидуальная)</v>
      </c>
      <c r="G48" s="2939" t="str">
        <f>INDEX(PT_DIFFERENTIATION_NTAR,MATCH(B48,PT_DIFFERENTIATION_NTAR_ID,0))</f>
        <v/>
      </c>
      <c r="H48" s="2501"/>
      <c r="I48" s="2251"/>
      <c r="J48" s="2285"/>
      <c r="K48" s="2377"/>
      <c r="L48" s="2501" t="s">
        <v>445</v>
      </c>
      <c r="M48" s="2682"/>
      <c r="N48" s="846"/>
      <c r="O48" s="2136"/>
      <c r="P48" s="2136"/>
      <c r="AH48" s="2143">
        <v>0</v>
      </c>
    </row>
    <row s="50801" customFormat="1" customHeight="1" ht="18.75" hidden="1">
      <c r="A49" s="2292"/>
      <c r="B49" s="2292"/>
      <c r="C49" s="881" t="s">
        <v>1288</v>
      </c>
      <c r="D49" s="2974"/>
      <c r="E49" s="2716"/>
      <c r="F49" s="2895"/>
      <c r="G49" s="2939"/>
      <c r="H49" s="2012"/>
      <c r="I49" s="1163" t="s">
        <v>1289</v>
      </c>
      <c r="J49" s="1083"/>
      <c r="K49" s="2012"/>
      <c r="L49" s="726"/>
      <c r="M49" s="2682"/>
      <c r="N49" s="846"/>
      <c r="O49" s="2136"/>
      <c r="P49" s="2136"/>
      <c r="AH49" s="2143">
        <v>0</v>
      </c>
    </row>
    <row s="50801" customFormat="1" customHeight="1" ht="0.75" hidden="1">
      <c r="A50" s="2292"/>
      <c r="B50" s="2292"/>
      <c r="C50" s="881" t="s">
        <v>1294</v>
      </c>
      <c r="D50" s="2974"/>
      <c r="E50" s="2716"/>
      <c r="F50" s="2895"/>
      <c r="G50" s="912"/>
      <c r="H50" s="2012"/>
      <c r="I50" s="1163"/>
      <c r="J50" s="1083"/>
      <c r="K50" s="2012"/>
      <c r="L50" s="726"/>
      <c r="M50" s="2682"/>
      <c r="N50" s="846"/>
      <c r="O50" s="2136"/>
      <c r="P50" s="2136"/>
      <c r="AH50" s="2143">
        <v>0</v>
      </c>
    </row>
    <row s="50801" customFormat="1" customHeight="1" ht="18.75" hidden="1">
      <c r="A51" s="2292" t="s">
        <v>286</v>
      </c>
      <c r="B51" s="2292" t="s">
        <v>287</v>
      </c>
      <c r="C51" s="881"/>
      <c r="D51" s="2974"/>
      <c r="E51" s="2716"/>
      <c r="F51" s="2895" t="str">
        <f>INDEX(PT_DIFFERENTIATION_VTAR,MATCH(A51,PT_DIFFERENTIATION_VTAR_ID,0))</f>
        <v>Тариф на питьевую воду (питьевое водоснабжение)</v>
      </c>
      <c r="G51" s="2939" t="str">
        <f>INDEX(PT_DIFFERENTIATION_NTAR,MATCH(B51,PT_DIFFERENTIATION_NTAR_ID,0))</f>
        <v>Тариф на питьевую воду для потребителей КГУП "Примтеплоэнерго"</v>
      </c>
      <c r="H51" s="2374"/>
      <c r="I51" s="2251"/>
      <c r="J51" s="2285"/>
      <c r="K51" s="2377"/>
      <c r="L51" s="2374" t="s">
        <v>445</v>
      </c>
      <c r="M51" s="2682"/>
      <c r="N51" s="846"/>
      <c r="O51" s="2136"/>
      <c r="P51" s="2136"/>
      <c r="AH51" s="2143">
        <v>0</v>
      </c>
    </row>
    <row s="50801" customFormat="1" customHeight="1" ht="18.75" hidden="1">
      <c r="A52" s="2292"/>
      <c r="B52" s="2292"/>
      <c r="C52" s="881" t="s">
        <v>1288</v>
      </c>
      <c r="D52" s="2974"/>
      <c r="E52" s="2716"/>
      <c r="F52" s="2895"/>
      <c r="G52" s="2939"/>
      <c r="H52" s="2012"/>
      <c r="I52" s="1163" t="s">
        <v>1289</v>
      </c>
      <c r="J52" s="1083"/>
      <c r="K52" s="2012"/>
      <c r="L52" s="726"/>
      <c r="M52" s="2682"/>
      <c r="N52" s="846"/>
      <c r="O52" s="2136"/>
      <c r="P52" s="2136"/>
      <c r="AH52" s="2143">
        <v>0</v>
      </c>
    </row>
    <row s="50801" customFormat="1" customHeight="1" ht="0.75" hidden="1">
      <c r="A53" s="2292"/>
      <c r="B53" s="2292"/>
      <c r="C53" s="881" t="s">
        <v>1294</v>
      </c>
      <c r="D53" s="2974"/>
      <c r="E53" s="2716"/>
      <c r="F53" s="2895"/>
      <c r="G53" s="912"/>
      <c r="H53" s="2012"/>
      <c r="I53" s="1163"/>
      <c r="J53" s="1083"/>
      <c r="K53" s="2012"/>
      <c r="L53" s="726"/>
      <c r="M53" s="2682"/>
      <c r="N53" s="846"/>
      <c r="O53" s="2136"/>
      <c r="P53" s="2136"/>
      <c r="AH53" s="2143">
        <v>0</v>
      </c>
    </row>
    <row s="50801" customFormat="1" customHeight="1" ht="18.75" hidden="1">
      <c r="A54" s="2292" t="s">
        <v>369</v>
      </c>
      <c r="B54" s="2292" t="s">
        <v>370</v>
      </c>
      <c r="C54" s="881"/>
      <c r="D54" s="2974"/>
      <c r="E54" s="2716"/>
      <c r="F54" s="2895" t="str">
        <f>INDEX(PT_DIFFERENTIATION_VTAR,MATCH(A54,PT_DIFFERENTIATION_VTAR_ID,0))</f>
        <v>Тариф на техническую воду</v>
      </c>
      <c r="G54" s="2939" t="str">
        <f>INDEX(PT_DIFFERENTIATION_NTAR,MATCH(B54,PT_DIFFERENTIATION_NTAR_ID,0))</f>
        <v>Тариф на техническую воду</v>
      </c>
      <c r="H54" s="2374"/>
      <c r="I54" s="2251"/>
      <c r="J54" s="2285"/>
      <c r="K54" s="2377"/>
      <c r="L54" s="2374" t="s">
        <v>445</v>
      </c>
      <c r="M54" s="2682"/>
      <c r="N54" s="846"/>
      <c r="O54" s="2136"/>
      <c r="P54" s="2136"/>
      <c r="AH54" s="2143">
        <v>0</v>
      </c>
    </row>
    <row s="50801" customFormat="1" customHeight="1" ht="18.75" hidden="1">
      <c r="A55" s="2292"/>
      <c r="B55" s="2292"/>
      <c r="C55" s="881" t="s">
        <v>1288</v>
      </c>
      <c r="D55" s="2974"/>
      <c r="E55" s="2716"/>
      <c r="F55" s="2895"/>
      <c r="G55" s="2939"/>
      <c r="H55" s="2012"/>
      <c r="I55" s="1163" t="s">
        <v>1289</v>
      </c>
      <c r="J55" s="1083"/>
      <c r="K55" s="2012"/>
      <c r="L55" s="726"/>
      <c r="M55" s="2682"/>
      <c r="N55" s="846"/>
      <c r="O55" s="2136"/>
      <c r="P55" s="2136"/>
      <c r="AH55" s="2143">
        <v>0</v>
      </c>
    </row>
    <row s="50801" customFormat="1" customHeight="1" ht="0.75" hidden="1">
      <c r="A56" s="2292"/>
      <c r="B56" s="2292"/>
      <c r="C56" s="881" t="s">
        <v>1294</v>
      </c>
      <c r="D56" s="2974"/>
      <c r="E56" s="2716"/>
      <c r="F56" s="2895"/>
      <c r="G56" s="912"/>
      <c r="H56" s="2012"/>
      <c r="I56" s="1163"/>
      <c r="J56" s="1083"/>
      <c r="K56" s="2012"/>
      <c r="L56" s="726"/>
      <c r="M56" s="2682"/>
      <c r="N56" s="846"/>
      <c r="O56" s="2136"/>
      <c r="P56" s="2136"/>
      <c r="AH56" s="2143">
        <v>0</v>
      </c>
    </row>
    <row s="50801" customFormat="1" customHeight="1" ht="18.75" hidden="1">
      <c r="A57" s="2292" t="s">
        <v>374</v>
      </c>
      <c r="B57" s="2292" t="s">
        <v>375</v>
      </c>
      <c r="C57" s="881"/>
      <c r="D57" s="2974"/>
      <c r="E57" s="2716"/>
      <c r="F57" s="2895" t="str">
        <f>INDEX(PT_DIFFERENTIATION_VTAR,MATCH(A57,PT_DIFFERENTIATION_VTAR_ID,0))</f>
        <v>Тариф на транспортировку воды</v>
      </c>
      <c r="G57" s="2939" t="str">
        <f>INDEX(PT_DIFFERENTIATION_NTAR,MATCH(B57,PT_DIFFERENTIATION_NTAR_ID,0))</f>
        <v/>
      </c>
      <c r="H57" s="2374"/>
      <c r="I57" s="2251"/>
      <c r="J57" s="2285"/>
      <c r="K57" s="2377"/>
      <c r="L57" s="2374" t="s">
        <v>445</v>
      </c>
      <c r="M57" s="2682"/>
      <c r="N57" s="846"/>
      <c r="O57" s="2136"/>
      <c r="P57" s="2136"/>
      <c r="AH57" s="2143">
        <v>0</v>
      </c>
    </row>
    <row s="50801" customFormat="1" customHeight="1" ht="18.75" hidden="1">
      <c r="A58" s="2292"/>
      <c r="B58" s="2292"/>
      <c r="C58" s="881" t="s">
        <v>1288</v>
      </c>
      <c r="D58" s="2974"/>
      <c r="E58" s="2716"/>
      <c r="F58" s="2895"/>
      <c r="G58" s="2939"/>
      <c r="H58" s="2012"/>
      <c r="I58" s="1163" t="s">
        <v>1289</v>
      </c>
      <c r="J58" s="1083"/>
      <c r="K58" s="2012"/>
      <c r="L58" s="726"/>
      <c r="M58" s="2682"/>
      <c r="N58" s="846"/>
      <c r="O58" s="2136"/>
      <c r="P58" s="2136"/>
      <c r="AH58" s="2143">
        <v>0</v>
      </c>
    </row>
    <row s="50801" customFormat="1" customHeight="1" ht="0.75" hidden="1">
      <c r="A59" s="2292"/>
      <c r="B59" s="2292"/>
      <c r="C59" s="881" t="s">
        <v>1294</v>
      </c>
      <c r="D59" s="2974"/>
      <c r="E59" s="2716"/>
      <c r="F59" s="2895"/>
      <c r="G59" s="912"/>
      <c r="H59" s="2012"/>
      <c r="I59" s="1163"/>
      <c r="J59" s="1083"/>
      <c r="K59" s="2012"/>
      <c r="L59" s="726"/>
      <c r="M59" s="2682"/>
      <c r="N59" s="846"/>
      <c r="O59" s="2136"/>
      <c r="P59" s="2136"/>
      <c r="AH59" s="2143">
        <v>0</v>
      </c>
    </row>
    <row s="50801" customFormat="1" customHeight="1" ht="18.75" hidden="1">
      <c r="A60" s="2292" t="s">
        <v>379</v>
      </c>
      <c r="B60" s="2292" t="s">
        <v>380</v>
      </c>
      <c r="C60" s="881"/>
      <c r="D60" s="2974"/>
      <c r="E60" s="2716"/>
      <c r="F60" s="2895" t="str">
        <f>INDEX(PT_DIFFERENTIATION_VTAR,MATCH(A60,PT_DIFFERENTIATION_VTAR_ID,0))</f>
        <v>Тариф на подвоз воды</v>
      </c>
      <c r="G60" s="2939" t="str">
        <f>INDEX(PT_DIFFERENTIATION_NTAR,MATCH(B60,PT_DIFFERENTIATION_NTAR_ID,0))</f>
        <v/>
      </c>
      <c r="H60" s="2374"/>
      <c r="I60" s="2251"/>
      <c r="J60" s="2285"/>
      <c r="K60" s="2377"/>
      <c r="L60" s="2374" t="s">
        <v>445</v>
      </c>
      <c r="M60" s="2682"/>
      <c r="N60" s="846"/>
      <c r="O60" s="2136"/>
      <c r="P60" s="2136"/>
      <c r="AH60" s="2143">
        <v>0</v>
      </c>
    </row>
    <row s="50801" customFormat="1" customHeight="1" ht="18.75" hidden="1">
      <c r="A61" s="2292"/>
      <c r="B61" s="2292"/>
      <c r="C61" s="881" t="s">
        <v>1288</v>
      </c>
      <c r="D61" s="2974"/>
      <c r="E61" s="2716"/>
      <c r="F61" s="2895"/>
      <c r="G61" s="2939"/>
      <c r="H61" s="2012"/>
      <c r="I61" s="1163" t="s">
        <v>1289</v>
      </c>
      <c r="J61" s="1083"/>
      <c r="K61" s="2012"/>
      <c r="L61" s="726"/>
      <c r="M61" s="2682"/>
      <c r="N61" s="846"/>
      <c r="O61" s="2136"/>
      <c r="P61" s="2136"/>
      <c r="AH61" s="2143">
        <v>0</v>
      </c>
    </row>
    <row s="50801" customFormat="1" customHeight="1" ht="0.75" hidden="1">
      <c r="A62" s="2292"/>
      <c r="B62" s="2292"/>
      <c r="C62" s="881" t="s">
        <v>1294</v>
      </c>
      <c r="D62" s="2974"/>
      <c r="E62" s="2716"/>
      <c r="F62" s="2895"/>
      <c r="G62" s="912"/>
      <c r="H62" s="2012"/>
      <c r="I62" s="1163"/>
      <c r="J62" s="1083"/>
      <c r="K62" s="2012"/>
      <c r="L62" s="726"/>
      <c r="M62" s="2682"/>
      <c r="N62" s="846"/>
      <c r="O62" s="2136"/>
      <c r="P62" s="2136"/>
      <c r="AH62" s="2143">
        <v>0</v>
      </c>
    </row>
    <row s="50801" customFormat="1" customHeight="1" ht="18.75" hidden="1">
      <c r="A63" s="2292" t="s">
        <v>384</v>
      </c>
      <c r="B63" s="2292" t="s">
        <v>385</v>
      </c>
      <c r="C63" s="881"/>
      <c r="D63" s="2974"/>
      <c r="E63" s="2716"/>
      <c r="F63" s="28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9" t="str">
        <f>INDEX(PT_DIFFERENTIATION_NTAR,MATCH(B63,PT_DIFFERENTIATION_NTAR_ID,0))</f>
        <v/>
      </c>
      <c r="H63" s="2374"/>
      <c r="I63" s="2251"/>
      <c r="J63" s="2285"/>
      <c r="K63" s="2377"/>
      <c r="L63" s="2374" t="s">
        <v>445</v>
      </c>
      <c r="M63" s="2682"/>
      <c r="N63" s="846"/>
      <c r="O63" s="2136"/>
      <c r="P63" s="2136"/>
      <c r="AH63" s="2143">
        <v>0</v>
      </c>
    </row>
    <row s="50801" customFormat="1" customHeight="1" ht="18.75" hidden="1">
      <c r="A64" s="2292"/>
      <c r="B64" s="2292"/>
      <c r="C64" s="881" t="s">
        <v>1288</v>
      </c>
      <c r="D64" s="2974"/>
      <c r="E64" s="2716"/>
      <c r="F64" s="2895"/>
      <c r="G64" s="2939"/>
      <c r="H64" s="2012"/>
      <c r="I64" s="1163" t="s">
        <v>1289</v>
      </c>
      <c r="J64" s="1083"/>
      <c r="K64" s="2012"/>
      <c r="L64" s="726"/>
      <c r="M64" s="2682"/>
      <c r="N64" s="846"/>
      <c r="O64" s="2136"/>
      <c r="P64" s="2136"/>
      <c r="AH64" s="2143">
        <v>0</v>
      </c>
    </row>
    <row s="50801" customFormat="1" customHeight="1" ht="0.75" hidden="1">
      <c r="A65" s="2292"/>
      <c r="B65" s="2292"/>
      <c r="C65" s="881" t="s">
        <v>1294</v>
      </c>
      <c r="D65" s="2974"/>
      <c r="E65" s="2716"/>
      <c r="F65" s="2895"/>
      <c r="G65" s="912"/>
      <c r="H65" s="2012"/>
      <c r="I65" s="1163"/>
      <c r="J65" s="1083"/>
      <c r="K65" s="2012"/>
      <c r="L65" s="726"/>
      <c r="M65" s="2682"/>
      <c r="N65" s="846"/>
      <c r="O65" s="2136"/>
      <c r="P65" s="2136"/>
      <c r="AH65" s="2143">
        <v>0</v>
      </c>
    </row>
    <row s="50801" customFormat="1" customHeight="1" ht="18.75" hidden="1">
      <c r="A66" s="2292" t="s">
        <v>389</v>
      </c>
      <c r="B66" s="2292" t="s">
        <v>390</v>
      </c>
      <c r="C66" s="881"/>
      <c r="D66" s="2974"/>
      <c r="E66" s="2716"/>
      <c r="F66" s="2895" t="str">
        <f>INDEX(PT_DIFFERENTIATION_VTAR,MATCH(A66,PT_DIFFERENTIATION_VTAR_ID,0))</f>
        <v>Тариф на горячую воду (горячее водоснабжение)</v>
      </c>
      <c r="G66" s="2939" t="str">
        <f>INDEX(PT_DIFFERENTIATION_NTAR,MATCH(B66,PT_DIFFERENTIATION_NTAR_ID,0))</f>
        <v/>
      </c>
      <c r="H66" s="2374"/>
      <c r="I66" s="2251"/>
      <c r="J66" s="2285"/>
      <c r="K66" s="2377"/>
      <c r="L66" s="2374" t="s">
        <v>445</v>
      </c>
      <c r="M66" s="2682"/>
      <c r="N66" s="846"/>
      <c r="O66" s="2136"/>
      <c r="P66" s="2136"/>
      <c r="AH66" s="2143">
        <v>0</v>
      </c>
    </row>
    <row s="50801" customFormat="1" customHeight="1" ht="18.75" hidden="1">
      <c r="A67" s="2292"/>
      <c r="B67" s="2292"/>
      <c r="C67" s="881" t="s">
        <v>1288</v>
      </c>
      <c r="D67" s="2974"/>
      <c r="E67" s="2716"/>
      <c r="F67" s="2895"/>
      <c r="G67" s="2939"/>
      <c r="H67" s="2012"/>
      <c r="I67" s="1163" t="s">
        <v>1289</v>
      </c>
      <c r="J67" s="1083"/>
      <c r="K67" s="2012"/>
      <c r="L67" s="726"/>
      <c r="M67" s="2682"/>
      <c r="N67" s="846"/>
      <c r="O67" s="2136"/>
      <c r="P67" s="2136"/>
      <c r="AH67" s="2143">
        <v>0</v>
      </c>
    </row>
    <row s="50801" customFormat="1" customHeight="1" ht="0.75" hidden="1">
      <c r="A68" s="2292"/>
      <c r="B68" s="2292"/>
      <c r="C68" s="881" t="s">
        <v>1294</v>
      </c>
      <c r="D68" s="2974"/>
      <c r="E68" s="2716"/>
      <c r="F68" s="2895"/>
      <c r="G68" s="912"/>
      <c r="H68" s="2012"/>
      <c r="I68" s="1163"/>
      <c r="J68" s="1083"/>
      <c r="K68" s="2012"/>
      <c r="L68" s="726"/>
      <c r="M68" s="2682"/>
      <c r="N68" s="846"/>
      <c r="O68" s="2136"/>
      <c r="P68" s="2136"/>
      <c r="AH68" s="2143">
        <v>0</v>
      </c>
    </row>
    <row s="50801" customFormat="1" customHeight="1" ht="18.75" hidden="1">
      <c r="A69" s="2292" t="s">
        <v>394</v>
      </c>
      <c r="B69" s="2292" t="s">
        <v>395</v>
      </c>
      <c r="C69" s="881"/>
      <c r="D69" s="2974"/>
      <c r="E69" s="2716"/>
      <c r="F69" s="2895" t="str">
        <f>INDEX(PT_DIFFERENTIATION_VTAR,MATCH(A69,PT_DIFFERENTIATION_VTAR_ID,0))</f>
        <v>Тариф на транспортировку горячей воды</v>
      </c>
      <c r="G69" s="2939" t="str">
        <f>INDEX(PT_DIFFERENTIATION_NTAR,MATCH(B69,PT_DIFFERENTIATION_NTAR_ID,0))</f>
        <v/>
      </c>
      <c r="H69" s="2374"/>
      <c r="I69" s="2251"/>
      <c r="J69" s="2285"/>
      <c r="K69" s="2377"/>
      <c r="L69" s="2374" t="s">
        <v>445</v>
      </c>
      <c r="M69" s="2682"/>
      <c r="N69" s="846"/>
      <c r="O69" s="2136"/>
      <c r="P69" s="2136"/>
      <c r="AH69" s="2143">
        <v>0</v>
      </c>
    </row>
    <row s="50801" customFormat="1" customHeight="1" ht="18.75" hidden="1">
      <c r="A70" s="2292"/>
      <c r="B70" s="2292"/>
      <c r="C70" s="881" t="s">
        <v>1288</v>
      </c>
      <c r="D70" s="2974"/>
      <c r="E70" s="2716"/>
      <c r="F70" s="2895"/>
      <c r="G70" s="2939"/>
      <c r="H70" s="2012"/>
      <c r="I70" s="1163" t="s">
        <v>1289</v>
      </c>
      <c r="J70" s="1083"/>
      <c r="K70" s="2012"/>
      <c r="L70" s="726"/>
      <c r="M70" s="2682"/>
      <c r="N70" s="846"/>
      <c r="O70" s="2136"/>
      <c r="P70" s="2136"/>
      <c r="AH70" s="2143">
        <v>0</v>
      </c>
    </row>
    <row s="50801" customFormat="1" customHeight="1" ht="0.75" hidden="1">
      <c r="A71" s="2292"/>
      <c r="B71" s="2292"/>
      <c r="C71" s="881" t="s">
        <v>1294</v>
      </c>
      <c r="D71" s="2974"/>
      <c r="E71" s="2716"/>
      <c r="F71" s="2895"/>
      <c r="G71" s="912"/>
      <c r="H71" s="2012"/>
      <c r="I71" s="1163"/>
      <c r="J71" s="1083"/>
      <c r="K71" s="2012"/>
      <c r="L71" s="726"/>
      <c r="M71" s="2682"/>
      <c r="N71" s="846"/>
      <c r="O71" s="2136"/>
      <c r="P71" s="2136"/>
      <c r="AH71" s="2143">
        <v>0</v>
      </c>
    </row>
    <row s="50801" customFormat="1" customHeight="1" ht="18.75" hidden="1">
      <c r="A72" s="2292" t="s">
        <v>399</v>
      </c>
      <c r="B72" s="2292" t="s">
        <v>400</v>
      </c>
      <c r="C72" s="881"/>
      <c r="D72" s="2974"/>
      <c r="E72" s="2716"/>
      <c r="F72" s="2895" t="str">
        <f>INDEX(PT_DIFFERENTIATION_VTAR,MATCH(A72,PT_DIFFERENTIATION_VTAR_ID,0))</f>
        <v>Тариф на подключение (технологическое присоединение) к централизованной системе горячего водоснабжения</v>
      </c>
      <c r="G72" s="2939" t="str">
        <f>INDEX(PT_DIFFERENTIATION_NTAR,MATCH(B72,PT_DIFFERENTIATION_NTAR_ID,0))</f>
        <v/>
      </c>
      <c r="H72" s="2374"/>
      <c r="I72" s="2251"/>
      <c r="J72" s="2285"/>
      <c r="K72" s="2377"/>
      <c r="L72" s="2374" t="s">
        <v>445</v>
      </c>
      <c r="M72" s="2682"/>
      <c r="N72" s="846"/>
      <c r="O72" s="2136"/>
      <c r="P72" s="2136"/>
      <c r="AH72" s="2143">
        <v>0</v>
      </c>
    </row>
    <row s="50801" customFormat="1" customHeight="1" ht="18.75" hidden="1">
      <c r="A73" s="2292"/>
      <c r="B73" s="2292"/>
      <c r="C73" s="881" t="s">
        <v>1288</v>
      </c>
      <c r="D73" s="2974"/>
      <c r="E73" s="2716"/>
      <c r="F73" s="2895"/>
      <c r="G73" s="2939"/>
      <c r="H73" s="2012"/>
      <c r="I73" s="1163" t="s">
        <v>1289</v>
      </c>
      <c r="J73" s="1083"/>
      <c r="K73" s="2012"/>
      <c r="L73" s="726"/>
      <c r="M73" s="2682"/>
      <c r="N73" s="846"/>
      <c r="O73" s="2136"/>
      <c r="P73" s="2136"/>
      <c r="AH73" s="2143">
        <v>0</v>
      </c>
    </row>
    <row s="50801" customFormat="1" customHeight="1" ht="0.75" hidden="1">
      <c r="A74" s="2292"/>
      <c r="B74" s="2292"/>
      <c r="C74" s="881" t="s">
        <v>1294</v>
      </c>
      <c r="D74" s="2974"/>
      <c r="E74" s="2716"/>
      <c r="F74" s="2895"/>
      <c r="G74" s="912"/>
      <c r="H74" s="2012"/>
      <c r="I74" s="1163"/>
      <c r="J74" s="1083"/>
      <c r="K74" s="2012"/>
      <c r="L74" s="726"/>
      <c r="M74" s="2682"/>
      <c r="N74" s="846"/>
      <c r="O74" s="2136"/>
      <c r="P74" s="2136"/>
      <c r="AH74" s="2143">
        <v>0</v>
      </c>
    </row>
    <row s="50801" customFormat="1" customHeight="1" ht="18.75" hidden="1">
      <c r="A75" s="2292" t="s">
        <v>404</v>
      </c>
      <c r="B75" s="2292" t="s">
        <v>405</v>
      </c>
      <c r="C75" s="881"/>
      <c r="D75" s="2974"/>
      <c r="E75" s="2716"/>
      <c r="F75" s="2895" t="str">
        <f>INDEX(PT_DIFFERENTIATION_VTAR,MATCH(A75,PT_DIFFERENTIATION_VTAR_ID,0))</f>
        <v>Тариф на водоотведение</v>
      </c>
      <c r="G75" s="2939" t="str">
        <f>INDEX(PT_DIFFERENTIATION_NTAR,MATCH(B75,PT_DIFFERENTIATION_NTAR_ID,0))</f>
        <v/>
      </c>
      <c r="H75" s="2374"/>
      <c r="I75" s="2251"/>
      <c r="J75" s="2285"/>
      <c r="K75" s="2377"/>
      <c r="L75" s="2374" t="s">
        <v>445</v>
      </c>
      <c r="M75" s="2682"/>
      <c r="N75" s="846"/>
      <c r="O75" s="2136"/>
      <c r="P75" s="2136"/>
      <c r="AH75" s="2143">
        <v>0</v>
      </c>
    </row>
    <row s="50801" customFormat="1" customHeight="1" ht="18.75" hidden="1">
      <c r="A76" s="2292"/>
      <c r="B76" s="2292"/>
      <c r="C76" s="881" t="s">
        <v>1288</v>
      </c>
      <c r="D76" s="2974"/>
      <c r="E76" s="2716"/>
      <c r="F76" s="2895"/>
      <c r="G76" s="2939"/>
      <c r="H76" s="2012"/>
      <c r="I76" s="1163" t="s">
        <v>1289</v>
      </c>
      <c r="J76" s="1083"/>
      <c r="K76" s="2012"/>
      <c r="L76" s="726"/>
      <c r="M76" s="2682"/>
      <c r="N76" s="846"/>
      <c r="O76" s="2136"/>
      <c r="P76" s="2136"/>
      <c r="AH76" s="2143">
        <v>0</v>
      </c>
    </row>
    <row s="50801" customFormat="1" customHeight="1" ht="0.75" hidden="1">
      <c r="A77" s="2292"/>
      <c r="B77" s="2292"/>
      <c r="C77" s="881" t="s">
        <v>1294</v>
      </c>
      <c r="D77" s="2974"/>
      <c r="E77" s="2716"/>
      <c r="F77" s="2895"/>
      <c r="G77" s="912"/>
      <c r="H77" s="2012"/>
      <c r="I77" s="1163"/>
      <c r="J77" s="1083"/>
      <c r="K77" s="2012"/>
      <c r="L77" s="726"/>
      <c r="M77" s="2682"/>
      <c r="N77" s="846"/>
      <c r="O77" s="2136"/>
      <c r="P77" s="2136"/>
      <c r="AH77" s="2143">
        <v>0</v>
      </c>
    </row>
    <row s="50801" customFormat="1" customHeight="1" ht="18.75" hidden="1">
      <c r="A78" s="2292" t="s">
        <v>409</v>
      </c>
      <c r="B78" s="2292" t="s">
        <v>410</v>
      </c>
      <c r="C78" s="881"/>
      <c r="D78" s="2974"/>
      <c r="E78" s="2716"/>
      <c r="F78" s="2895" t="str">
        <f>INDEX(PT_DIFFERENTIATION_VTAR,MATCH(A78,PT_DIFFERENTIATION_VTAR_ID,0))</f>
        <v>Тариф на транспортировку сточных вод</v>
      </c>
      <c r="G78" s="2939" t="str">
        <f>INDEX(PT_DIFFERENTIATION_NTAR,MATCH(B78,PT_DIFFERENTIATION_NTAR_ID,0))</f>
        <v/>
      </c>
      <c r="H78" s="2374"/>
      <c r="I78" s="2251"/>
      <c r="J78" s="2285"/>
      <c r="K78" s="2377"/>
      <c r="L78" s="2374" t="s">
        <v>445</v>
      </c>
      <c r="M78" s="2682"/>
      <c r="N78" s="846"/>
      <c r="O78" s="2136"/>
      <c r="P78" s="2136"/>
      <c r="AH78" s="2143">
        <v>0</v>
      </c>
    </row>
    <row s="50801" customFormat="1" customHeight="1" ht="18.75" hidden="1">
      <c r="A79" s="2292"/>
      <c r="B79" s="2292"/>
      <c r="C79" s="881" t="s">
        <v>1288</v>
      </c>
      <c r="D79" s="2974"/>
      <c r="E79" s="2716"/>
      <c r="F79" s="2895"/>
      <c r="G79" s="2939"/>
      <c r="H79" s="2012"/>
      <c r="I79" s="1163" t="s">
        <v>1289</v>
      </c>
      <c r="J79" s="1083"/>
      <c r="K79" s="2012"/>
      <c r="L79" s="726"/>
      <c r="M79" s="2682"/>
      <c r="N79" s="846"/>
      <c r="O79" s="2136"/>
      <c r="P79" s="2136"/>
      <c r="AH79" s="2143">
        <v>0</v>
      </c>
    </row>
    <row s="50801" customFormat="1" customHeight="1" ht="0.75" hidden="1">
      <c r="A80" s="2292"/>
      <c r="B80" s="2292"/>
      <c r="C80" s="881" t="s">
        <v>1294</v>
      </c>
      <c r="D80" s="2974"/>
      <c r="E80" s="2716"/>
      <c r="F80" s="2895"/>
      <c r="G80" s="912"/>
      <c r="H80" s="2012"/>
      <c r="I80" s="1163"/>
      <c r="J80" s="1083"/>
      <c r="K80" s="2012"/>
      <c r="L80" s="726"/>
      <c r="M80" s="2682"/>
      <c r="N80" s="846"/>
      <c r="O80" s="2136"/>
      <c r="P80" s="2136"/>
      <c r="AH80" s="2143">
        <v>0</v>
      </c>
    </row>
    <row s="50801" customFormat="1" customHeight="1" ht="18.75" hidden="1">
      <c r="A81" s="2292" t="s">
        <v>414</v>
      </c>
      <c r="B81" s="2292" t="s">
        <v>415</v>
      </c>
      <c r="C81" s="881"/>
      <c r="D81" s="2974"/>
      <c r="E81" s="2716"/>
      <c r="F81" s="2895" t="str">
        <f>INDEX(PT_DIFFERENTIATION_VTAR,MATCH(A81,PT_DIFFERENTIATION_VTAR_ID,0))</f>
        <v>Тариф на подключение (технологическое присоединение) к централизованной системе водоотведения</v>
      </c>
      <c r="G81" s="2939" t="str">
        <f>INDEX(PT_DIFFERENTIATION_NTAR,MATCH(B81,PT_DIFFERENTIATION_NTAR_ID,0))</f>
        <v/>
      </c>
      <c r="H81" s="2374"/>
      <c r="I81" s="2251"/>
      <c r="J81" s="2285"/>
      <c r="K81" s="2377"/>
      <c r="L81" s="2374" t="s">
        <v>445</v>
      </c>
      <c r="M81" s="2682"/>
      <c r="N81" s="846"/>
      <c r="O81" s="2136"/>
      <c r="P81" s="2136"/>
      <c r="AH81" s="2143">
        <v>0</v>
      </c>
    </row>
    <row s="50801" customFormat="1" customHeight="1" ht="18.75" hidden="1">
      <c r="A82" s="2292"/>
      <c r="B82" s="2292"/>
      <c r="C82" s="881" t="s">
        <v>1288</v>
      </c>
      <c r="D82" s="2974"/>
      <c r="E82" s="2716"/>
      <c r="F82" s="2895"/>
      <c r="G82" s="2939"/>
      <c r="H82" s="2012"/>
      <c r="I82" s="1163" t="s">
        <v>1289</v>
      </c>
      <c r="J82" s="1083"/>
      <c r="K82" s="2012"/>
      <c r="L82" s="726"/>
      <c r="M82" s="2682"/>
      <c r="N82" s="846"/>
      <c r="O82" s="2136"/>
      <c r="P82" s="2136"/>
      <c r="AH82" s="2143">
        <v>0</v>
      </c>
    </row>
    <row s="50801" customFormat="1" customHeight="1" ht="1.05">
      <c r="A83" s="2292"/>
      <c r="B83" s="2292"/>
      <c r="C83" s="881" t="s">
        <v>1294</v>
      </c>
      <c r="D83" s="2974"/>
      <c r="E83" s="2716"/>
      <c r="F83" s="2895"/>
      <c r="G83" s="912"/>
      <c r="H83" s="2012"/>
      <c r="I83" s="1163"/>
      <c r="J83" s="1083"/>
      <c r="K83" s="2012"/>
      <c r="L83" s="726"/>
      <c r="M83" s="2682"/>
      <c r="N83" s="846"/>
      <c r="O83" s="2136"/>
      <c r="P83" s="2136"/>
      <c r="AH83" s="2143">
        <v>1</v>
      </c>
    </row>
    <row customHeight="1" ht="19.95">
      <c r="A84" s="2292"/>
      <c r="B84" s="2292"/>
      <c r="D84" s="888"/>
      <c r="E84" s="659" t="s">
        <v>105</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72"/>
      <c r="H84" s="2972"/>
      <c r="I84" s="2972"/>
      <c r="J84" s="2972"/>
      <c r="K84" s="2972"/>
      <c r="L84" s="2972"/>
      <c r="M84" s="809"/>
      <c r="N84" s="846"/>
      <c r="AH84" s="886">
        <v>19</v>
      </c>
    </row>
    <row customHeight="1" ht="35.699999999999996">
      <c r="A85" s="2292"/>
      <c r="B85" s="2292"/>
      <c r="D85" s="888"/>
      <c r="E85" s="911"/>
      <c r="F85" s="710" t="s">
        <v>445</v>
      </c>
      <c r="G85" s="710" t="s">
        <v>445</v>
      </c>
      <c r="H85" s="2730" t="s">
        <v>445</v>
      </c>
      <c r="I85" s="2732"/>
      <c r="J85" s="710" t="s">
        <v>445</v>
      </c>
      <c r="K85" s="710" t="s">
        <v>445</v>
      </c>
      <c r="L85" s="913"/>
      <c r="M85" s="857" t="s">
        <v>1295</v>
      </c>
      <c r="N85" s="846"/>
      <c r="AH85" s="886">
        <v>34</v>
      </c>
    </row>
    <row customHeight="1" ht="19.95">
      <c r="A86" s="2292"/>
      <c r="B86" s="2292"/>
      <c r="D86" s="888"/>
      <c r="E86" s="659" t="s">
        <v>92</v>
      </c>
      <c r="F86" s="2972" t="s">
        <v>1296</v>
      </c>
      <c r="G86" s="2972"/>
      <c r="H86" s="2972"/>
      <c r="I86" s="2972"/>
      <c r="J86" s="2972"/>
      <c r="K86" s="2972"/>
      <c r="L86" s="2972"/>
      <c r="M86" s="809"/>
      <c r="N86" s="846"/>
      <c r="AH86" s="886">
        <v>19</v>
      </c>
    </row>
    <row s="50801" customFormat="1" customHeight="1" ht="60.75" hidden="1">
      <c r="A87" s="2292" t="s">
        <v>215</v>
      </c>
      <c r="B87" s="2292" t="s">
        <v>216</v>
      </c>
      <c r="C87" s="881"/>
      <c r="D87" s="2974"/>
      <c r="E87" s="2716"/>
      <c r="F87" s="28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9" t="str">
        <f>INDEX(PT_DIFFERENTIATION_NTAR,MATCH(B87,PT_DIFFERENTIATION_NTAR_ID,0))</f>
        <v/>
      </c>
      <c r="H87" s="2374"/>
      <c r="I87" s="2251"/>
      <c r="J87" s="2285"/>
      <c r="K87" s="2290"/>
      <c r="L87" s="2374" t="s">
        <v>445</v>
      </c>
      <c r="M87"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46"/>
      <c r="O87" s="2136"/>
      <c r="P87" s="2136"/>
      <c r="AH87" s="2143">
        <v>0</v>
      </c>
    </row>
    <row s="50801" customFormat="1" customHeight="1" ht="18.75" hidden="1">
      <c r="A88" s="2292"/>
      <c r="B88" s="2292"/>
      <c r="C88" s="881" t="s">
        <v>1290</v>
      </c>
      <c r="D88" s="2974"/>
      <c r="E88" s="2716"/>
      <c r="F88" s="2895"/>
      <c r="G88" s="2939"/>
      <c r="H88" s="2012"/>
      <c r="I88" s="1163" t="s">
        <v>1289</v>
      </c>
      <c r="J88" s="1083"/>
      <c r="K88" s="2012"/>
      <c r="L88" s="726"/>
      <c r="M88" s="2682"/>
      <c r="N88" s="846"/>
      <c r="O88" s="2136"/>
      <c r="P88" s="2136"/>
      <c r="AH88" s="2143">
        <v>0</v>
      </c>
    </row>
    <row s="50801" customFormat="1" customHeight="1" ht="0.75" hidden="1">
      <c r="A89" s="2292"/>
      <c r="B89" s="2292"/>
      <c r="C89" s="881" t="s">
        <v>1297</v>
      </c>
      <c r="D89" s="2974"/>
      <c r="E89" s="2716"/>
      <c r="F89" s="2895"/>
      <c r="G89" s="912"/>
      <c r="H89" s="2012"/>
      <c r="I89" s="1163"/>
      <c r="J89" s="1083"/>
      <c r="K89" s="2012"/>
      <c r="L89" s="726"/>
      <c r="M89" s="2682"/>
      <c r="N89" s="846"/>
      <c r="O89" s="2136"/>
      <c r="P89" s="2136"/>
      <c r="AH89" s="2143">
        <v>0</v>
      </c>
    </row>
    <row s="50801" customFormat="1" customHeight="1" ht="45" hidden="1">
      <c r="A90" s="2292" t="s">
        <v>220</v>
      </c>
      <c r="B90" s="2292" t="s">
        <v>221</v>
      </c>
      <c r="C90" s="881"/>
      <c r="D90" s="2974"/>
      <c r="E90" s="2716"/>
      <c r="F90" s="2895" t="str">
        <f>INDEX(PT_DIFFERENTIATION_VTAR,MATCH(A90,PT_DIFFERENTIATION_VTAR_ID,0))</f>
        <v/>
      </c>
      <c r="G90" s="2939" t="str">
        <f>INDEX(PT_DIFFERENTIATION_NTAR,MATCH(B90,PT_DIFFERENTIATION_NTAR_ID,0))</f>
        <v/>
      </c>
      <c r="H90" s="2374"/>
      <c r="I90" s="2251"/>
      <c r="J90" s="2285"/>
      <c r="K90" s="2290"/>
      <c r="L90" s="2374" t="s">
        <v>445</v>
      </c>
      <c r="M90" s="2683"/>
      <c r="N90" s="846"/>
      <c r="O90" s="2136"/>
      <c r="P90" s="2136"/>
      <c r="AH90" s="2143">
        <v>0</v>
      </c>
    </row>
    <row s="50801" customFormat="1" customHeight="1" ht="18.75" hidden="1">
      <c r="A91" s="2292"/>
      <c r="B91" s="2292"/>
      <c r="C91" s="881" t="s">
        <v>1290</v>
      </c>
      <c r="D91" s="2974"/>
      <c r="E91" s="2716"/>
      <c r="F91" s="2895"/>
      <c r="G91" s="2939"/>
      <c r="H91" s="2012"/>
      <c r="I91" s="1163" t="s">
        <v>1289</v>
      </c>
      <c r="J91" s="1083"/>
      <c r="K91" s="2012"/>
      <c r="L91" s="726"/>
      <c r="M91" s="2373"/>
      <c r="N91" s="846"/>
      <c r="O91" s="2136"/>
      <c r="P91" s="2136"/>
      <c r="AH91" s="2143">
        <v>0</v>
      </c>
    </row>
    <row s="50801" customFormat="1" customHeight="1" ht="0.75" hidden="1">
      <c r="A92" s="2292"/>
      <c r="B92" s="2292"/>
      <c r="C92" s="881" t="s">
        <v>1297</v>
      </c>
      <c r="D92" s="2974"/>
      <c r="E92" s="2716"/>
      <c r="F92" s="2895"/>
      <c r="G92" s="912"/>
      <c r="H92" s="2012"/>
      <c r="I92" s="1163"/>
      <c r="J92" s="1083"/>
      <c r="K92" s="2012"/>
      <c r="L92" s="726"/>
      <c r="M92" s="853"/>
      <c r="N92" s="846"/>
      <c r="O92" s="2136"/>
      <c r="P92" s="2136"/>
      <c r="AH92" s="2143">
        <v>0</v>
      </c>
    </row>
    <row s="50801" customFormat="1" customHeight="1" ht="45" hidden="1">
      <c r="A93" s="2292" t="s">
        <v>227</v>
      </c>
      <c r="B93" s="2292" t="s">
        <v>228</v>
      </c>
      <c r="C93" s="881"/>
      <c r="D93" s="2974"/>
      <c r="E93" s="2716"/>
      <c r="F93" s="28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9" t="str">
        <f>INDEX(PT_DIFFERENTIATION_NTAR,MATCH(B93,PT_DIFFERENTIATION_NTAR_ID,0))</f>
        <v/>
      </c>
      <c r="H93" s="2374"/>
      <c r="I93" s="2251"/>
      <c r="J93" s="2285"/>
      <c r="K93" s="2290"/>
      <c r="L93" s="2374" t="s">
        <v>445</v>
      </c>
      <c r="M93" s="853"/>
      <c r="N93" s="846"/>
      <c r="O93" s="2136"/>
      <c r="P93" s="2136"/>
      <c r="AH93" s="2143">
        <v>0</v>
      </c>
    </row>
    <row s="50801" customFormat="1" customHeight="1" ht="18.75" hidden="1">
      <c r="A94" s="2292"/>
      <c r="B94" s="2292"/>
      <c r="C94" s="881" t="s">
        <v>1290</v>
      </c>
      <c r="D94" s="2974"/>
      <c r="E94" s="2716"/>
      <c r="F94" s="2895"/>
      <c r="G94" s="2939"/>
      <c r="H94" s="2012"/>
      <c r="I94" s="1163" t="s">
        <v>1289</v>
      </c>
      <c r="J94" s="1083"/>
      <c r="K94" s="2012"/>
      <c r="L94" s="726"/>
      <c r="M94" s="853"/>
      <c r="N94" s="846"/>
      <c r="O94" s="2136"/>
      <c r="P94" s="2136"/>
      <c r="AH94" s="2143">
        <v>0</v>
      </c>
    </row>
    <row s="50801" customFormat="1" customHeight="1" ht="0.75" hidden="1">
      <c r="A95" s="2292"/>
      <c r="B95" s="2292"/>
      <c r="C95" s="881" t="s">
        <v>1297</v>
      </c>
      <c r="D95" s="2974"/>
      <c r="E95" s="2716"/>
      <c r="F95" s="2895"/>
      <c r="G95" s="912"/>
      <c r="H95" s="2012"/>
      <c r="I95" s="1163"/>
      <c r="J95" s="1083"/>
      <c r="K95" s="2012"/>
      <c r="L95" s="726"/>
      <c r="M95" s="853"/>
      <c r="N95" s="846"/>
      <c r="O95" s="2136"/>
      <c r="P95" s="2136"/>
      <c r="AH95" s="2143">
        <v>0</v>
      </c>
    </row>
    <row s="50801" customFormat="1" customHeight="1" ht="45" hidden="1">
      <c r="A96" s="2292" t="s">
        <v>233</v>
      </c>
      <c r="B96" s="2292" t="s">
        <v>234</v>
      </c>
      <c r="C96" s="881"/>
      <c r="D96" s="2974"/>
      <c r="E96" s="2716"/>
      <c r="F96" s="28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9" t="str">
        <f>INDEX(PT_DIFFERENTIATION_NTAR,MATCH(B96,PT_DIFFERENTIATION_NTAR_ID,0))</f>
        <v/>
      </c>
      <c r="H96" s="2374"/>
      <c r="I96" s="2251"/>
      <c r="J96" s="2285"/>
      <c r="K96" s="2290"/>
      <c r="L96" s="2374" t="s">
        <v>445</v>
      </c>
      <c r="M96" s="853"/>
      <c r="N96" s="846"/>
      <c r="O96" s="2136"/>
      <c r="P96" s="2136"/>
      <c r="AH96" s="2143">
        <v>0</v>
      </c>
    </row>
    <row s="50801" customFormat="1" customHeight="1" ht="18.75" hidden="1">
      <c r="A97" s="2292"/>
      <c r="B97" s="2292"/>
      <c r="C97" s="881" t="s">
        <v>1290</v>
      </c>
      <c r="D97" s="2974"/>
      <c r="E97" s="2716"/>
      <c r="F97" s="2895"/>
      <c r="G97" s="2939"/>
      <c r="H97" s="2012"/>
      <c r="I97" s="1163" t="s">
        <v>1289</v>
      </c>
      <c r="J97" s="1083"/>
      <c r="K97" s="2012"/>
      <c r="L97" s="726"/>
      <c r="M97" s="853"/>
      <c r="N97" s="846"/>
      <c r="O97" s="2136"/>
      <c r="P97" s="2136"/>
      <c r="AH97" s="2143">
        <v>0</v>
      </c>
    </row>
    <row s="50801" customFormat="1" customHeight="1" ht="0.75" hidden="1">
      <c r="A98" s="2292"/>
      <c r="B98" s="2292"/>
      <c r="C98" s="881" t="s">
        <v>1297</v>
      </c>
      <c r="D98" s="2974"/>
      <c r="E98" s="2716"/>
      <c r="F98" s="2895"/>
      <c r="G98" s="912"/>
      <c r="H98" s="2012"/>
      <c r="I98" s="1163"/>
      <c r="J98" s="1083"/>
      <c r="K98" s="2012"/>
      <c r="L98" s="726"/>
      <c r="M98" s="853"/>
      <c r="N98" s="846"/>
      <c r="O98" s="2136"/>
      <c r="P98" s="2136"/>
      <c r="AH98" s="2143">
        <v>0</v>
      </c>
    </row>
    <row s="50801" customFormat="1" customHeight="1" ht="18.75" hidden="1">
      <c r="A99" s="2292" t="s">
        <v>239</v>
      </c>
      <c r="B99" s="2292" t="s">
        <v>240</v>
      </c>
      <c r="C99" s="881"/>
      <c r="D99" s="2974"/>
      <c r="E99" s="2716"/>
      <c r="F99" s="2895" t="str">
        <f>INDEX(PT_DIFFERENTIATION_VTAR,MATCH(A99,PT_DIFFERENTIATION_VTAR_ID,0))</f>
        <v>Тарифы на услуги по передаче тепловой энергии</v>
      </c>
      <c r="G99" s="2939" t="str">
        <f>INDEX(PT_DIFFERENTIATION_NTAR,MATCH(B99,PT_DIFFERENTIATION_NTAR_ID,0))</f>
        <v/>
      </c>
      <c r="H99" s="2374"/>
      <c r="I99" s="2251"/>
      <c r="J99" s="2285"/>
      <c r="K99" s="2290"/>
      <c r="L99" s="2374" t="s">
        <v>445</v>
      </c>
      <c r="M99" s="853"/>
      <c r="N99" s="846"/>
      <c r="O99" s="2136"/>
      <c r="P99" s="2136"/>
      <c r="AH99" s="2143">
        <v>0</v>
      </c>
    </row>
    <row s="50801" customFormat="1" customHeight="1" ht="18.75" hidden="1">
      <c r="A100" s="2292"/>
      <c r="B100" s="2292"/>
      <c r="C100" s="881" t="s">
        <v>1290</v>
      </c>
      <c r="D100" s="2974"/>
      <c r="E100" s="2716"/>
      <c r="F100" s="2895"/>
      <c r="G100" s="2939"/>
      <c r="H100" s="2012"/>
      <c r="I100" s="1163" t="s">
        <v>1289</v>
      </c>
      <c r="J100" s="1083"/>
      <c r="K100" s="2012"/>
      <c r="L100" s="726"/>
      <c r="M100" s="853"/>
      <c r="N100" s="846"/>
      <c r="O100" s="2136"/>
      <c r="P100" s="2136"/>
      <c r="AH100" s="2143">
        <v>0</v>
      </c>
    </row>
    <row s="50801" customFormat="1" customHeight="1" ht="0.75" hidden="1">
      <c r="A101" s="2292"/>
      <c r="B101" s="2292"/>
      <c r="C101" s="881" t="s">
        <v>1297</v>
      </c>
      <c r="D101" s="2974"/>
      <c r="E101" s="2716"/>
      <c r="F101" s="2895"/>
      <c r="G101" s="912"/>
      <c r="H101" s="2012"/>
      <c r="I101" s="1163"/>
      <c r="J101" s="1083"/>
      <c r="K101" s="2012"/>
      <c r="L101" s="726"/>
      <c r="M101" s="853"/>
      <c r="N101" s="846"/>
      <c r="O101" s="2136"/>
      <c r="P101" s="2136"/>
      <c r="AH101" s="2143">
        <v>0</v>
      </c>
    </row>
    <row s="50801" customFormat="1" customHeight="1" ht="18.75" hidden="1">
      <c r="A102" s="2292" t="s">
        <v>245</v>
      </c>
      <c r="B102" s="2292" t="s">
        <v>246</v>
      </c>
      <c r="C102" s="881"/>
      <c r="D102" s="2974"/>
      <c r="E102" s="2716"/>
      <c r="F102" s="2895" t="str">
        <f>INDEX(PT_DIFFERENTIATION_VTAR,MATCH(A102,PT_DIFFERENTIATION_VTAR_ID,0))</f>
        <v>Тарифы на услуги по передаче теплоносителя</v>
      </c>
      <c r="G102" s="2939" t="str">
        <f>INDEX(PT_DIFFERENTIATION_NTAR,MATCH(B102,PT_DIFFERENTIATION_NTAR_ID,0))</f>
        <v/>
      </c>
      <c r="H102" s="2374"/>
      <c r="I102" s="2251"/>
      <c r="J102" s="2285"/>
      <c r="K102" s="2290"/>
      <c r="L102" s="2374" t="s">
        <v>445</v>
      </c>
      <c r="M102" s="853"/>
      <c r="N102" s="846"/>
      <c r="O102" s="2136"/>
      <c r="P102" s="2136"/>
      <c r="AH102" s="2143">
        <v>0</v>
      </c>
    </row>
    <row s="50801" customFormat="1" customHeight="1" ht="18.75" hidden="1">
      <c r="A103" s="2292"/>
      <c r="B103" s="2292"/>
      <c r="C103" s="881" t="s">
        <v>1290</v>
      </c>
      <c r="D103" s="2974"/>
      <c r="E103" s="2716"/>
      <c r="F103" s="2895"/>
      <c r="G103" s="2939"/>
      <c r="H103" s="2012"/>
      <c r="I103" s="1163" t="s">
        <v>1289</v>
      </c>
      <c r="J103" s="1083"/>
      <c r="K103" s="2012"/>
      <c r="L103" s="726"/>
      <c r="M103" s="853"/>
      <c r="N103" s="846"/>
      <c r="O103" s="2136"/>
      <c r="P103" s="2136"/>
      <c r="AH103" s="2143">
        <v>0</v>
      </c>
    </row>
    <row s="50801" customFormat="1" customHeight="1" ht="0.75" hidden="1">
      <c r="A104" s="2292"/>
      <c r="B104" s="2292"/>
      <c r="C104" s="881" t="s">
        <v>1297</v>
      </c>
      <c r="D104" s="2974"/>
      <c r="E104" s="2716"/>
      <c r="F104" s="2895"/>
      <c r="G104" s="912"/>
      <c r="H104" s="2012"/>
      <c r="I104" s="1163"/>
      <c r="J104" s="1083"/>
      <c r="K104" s="2012"/>
      <c r="L104" s="726"/>
      <c r="M104" s="853"/>
      <c r="N104" s="846"/>
      <c r="O104" s="2136"/>
      <c r="P104" s="2136"/>
      <c r="AH104" s="2143">
        <v>0</v>
      </c>
    </row>
    <row s="50801" customFormat="1" customHeight="1" ht="18.75" hidden="1">
      <c r="A105" s="2292" t="s">
        <v>251</v>
      </c>
      <c r="B105" s="2292" t="s">
        <v>252</v>
      </c>
      <c r="C105" s="881"/>
      <c r="D105" s="2974"/>
      <c r="E105" s="2716"/>
      <c r="F105" s="28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9" t="str">
        <f>INDEX(PT_DIFFERENTIATION_NTAR,MATCH(B105,PT_DIFFERENTIATION_NTAR_ID,0))</f>
        <v/>
      </c>
      <c r="H105" s="2374"/>
      <c r="I105" s="2251"/>
      <c r="J105" s="2285"/>
      <c r="K105" s="2290"/>
      <c r="L105" s="2374" t="s">
        <v>445</v>
      </c>
      <c r="M105" s="853"/>
      <c r="N105" s="846"/>
      <c r="O105" s="2136"/>
      <c r="P105" s="2136"/>
      <c r="AH105" s="2143">
        <v>0</v>
      </c>
    </row>
    <row s="50801" customFormat="1" customHeight="1" ht="18.75" hidden="1">
      <c r="A106" s="2292"/>
      <c r="B106" s="2292"/>
      <c r="C106" s="881" t="s">
        <v>1290</v>
      </c>
      <c r="D106" s="2974"/>
      <c r="E106" s="2716"/>
      <c r="F106" s="2895"/>
      <c r="G106" s="2939"/>
      <c r="H106" s="2012"/>
      <c r="I106" s="1163" t="s">
        <v>1289</v>
      </c>
      <c r="J106" s="1083"/>
      <c r="K106" s="2012"/>
      <c r="L106" s="726"/>
      <c r="M106" s="853"/>
      <c r="N106" s="846"/>
      <c r="O106" s="2136"/>
      <c r="P106" s="2136"/>
      <c r="AH106" s="2143">
        <v>0</v>
      </c>
    </row>
    <row s="50801" customFormat="1" customHeight="1" ht="0.75" hidden="1">
      <c r="A107" s="2292"/>
      <c r="B107" s="2292"/>
      <c r="C107" s="881" t="s">
        <v>1297</v>
      </c>
      <c r="D107" s="2974"/>
      <c r="E107" s="2716"/>
      <c r="F107" s="2895"/>
      <c r="G107" s="912"/>
      <c r="H107" s="2012"/>
      <c r="I107" s="1163"/>
      <c r="J107" s="1083"/>
      <c r="K107" s="2012"/>
      <c r="L107" s="726"/>
      <c r="M107" s="853"/>
      <c r="N107" s="846"/>
      <c r="O107" s="2136"/>
      <c r="P107" s="2136"/>
      <c r="AH107" s="2143">
        <v>0</v>
      </c>
    </row>
    <row s="50801" customFormat="1" customHeight="1" ht="18.75" hidden="1">
      <c r="A108" s="2292" t="s">
        <v>257</v>
      </c>
      <c r="B108" s="2292" t="s">
        <v>258</v>
      </c>
      <c r="C108" s="881"/>
      <c r="D108" s="2974"/>
      <c r="E108" s="2716"/>
      <c r="F108" s="2895" t="str">
        <f>INDEX(PT_DIFFERENTIATION_VTAR,MATCH(A108,PT_DIFFERENTIATION_VTAR_ID,0))</f>
        <v>Плата за подключение (технологическое присоединение) к системе теплоснабжения</v>
      </c>
      <c r="G108" s="2939" t="str">
        <f>INDEX(PT_DIFFERENTIATION_NTAR,MATCH(B108,PT_DIFFERENTIATION_NTAR_ID,0))</f>
        <v/>
      </c>
      <c r="H108" s="2374"/>
      <c r="I108" s="2251"/>
      <c r="J108" s="2285"/>
      <c r="K108" s="2290"/>
      <c r="L108" s="2374" t="s">
        <v>445</v>
      </c>
      <c r="M108" s="853"/>
      <c r="N108" s="846"/>
      <c r="O108" s="2136"/>
      <c r="P108" s="2136"/>
      <c r="AH108" s="2143">
        <v>0</v>
      </c>
    </row>
    <row s="50801" customFormat="1" customHeight="1" ht="18.75" hidden="1">
      <c r="A109" s="2292"/>
      <c r="B109" s="2292"/>
      <c r="C109" s="881" t="s">
        <v>1290</v>
      </c>
      <c r="D109" s="2974"/>
      <c r="E109" s="2716"/>
      <c r="F109" s="2895"/>
      <c r="G109" s="2939"/>
      <c r="H109" s="2012"/>
      <c r="I109" s="1163" t="s">
        <v>1289</v>
      </c>
      <c r="J109" s="1083"/>
      <c r="K109" s="2012"/>
      <c r="L109" s="726"/>
      <c r="M109" s="853"/>
      <c r="N109" s="846"/>
      <c r="O109" s="2136"/>
      <c r="P109" s="2136"/>
      <c r="AH109" s="2143">
        <v>0</v>
      </c>
    </row>
    <row s="50801" customFormat="1" customHeight="1" ht="0.75" hidden="1">
      <c r="A110" s="2292"/>
      <c r="B110" s="2292"/>
      <c r="C110" s="881" t="s">
        <v>1297</v>
      </c>
      <c r="D110" s="2974"/>
      <c r="E110" s="2716"/>
      <c r="F110" s="2895"/>
      <c r="G110" s="912"/>
      <c r="H110" s="2012"/>
      <c r="I110" s="1163"/>
      <c r="J110" s="1083"/>
      <c r="K110" s="2012"/>
      <c r="L110" s="726"/>
      <c r="M110" s="853"/>
      <c r="N110" s="846"/>
      <c r="O110" s="2136"/>
      <c r="P110" s="2136"/>
      <c r="AH110" s="2143">
        <v>0</v>
      </c>
    </row>
    <row s="50801" customFormat="1" customHeight="1" ht="18.75" hidden="1">
      <c r="A111" s="2292" t="s">
        <v>263</v>
      </c>
      <c r="B111" s="2292" t="s">
        <v>264</v>
      </c>
      <c r="C111" s="881"/>
      <c r="D111" s="2974"/>
      <c r="E111" s="2716"/>
      <c r="F111" s="2895" t="str">
        <f>INDEX(PT_DIFFERENTIATION_VTAR,MATCH(A111,PT_DIFFERENTIATION_VTAR_ID,0))</f>
        <v>Плата за подключение (технологическое присоединение) к системе теплоснабжения (индивидуальная)</v>
      </c>
      <c r="G111" s="2939" t="str">
        <f>INDEX(PT_DIFFERENTIATION_NTAR,MATCH(B111,PT_DIFFERENTIATION_NTAR_ID,0))</f>
        <v/>
      </c>
      <c r="H111" s="2501"/>
      <c r="I111" s="2251"/>
      <c r="J111" s="2285"/>
      <c r="K111" s="2290"/>
      <c r="L111" s="2501" t="s">
        <v>445</v>
      </c>
      <c r="M111" s="853"/>
      <c r="N111" s="846"/>
      <c r="O111" s="2136"/>
      <c r="P111" s="2136"/>
      <c r="AH111" s="2143">
        <v>0</v>
      </c>
    </row>
    <row s="50801" customFormat="1" customHeight="1" ht="18.75" hidden="1">
      <c r="A112" s="2292"/>
      <c r="B112" s="2292"/>
      <c r="C112" s="881" t="s">
        <v>1290</v>
      </c>
      <c r="D112" s="2974"/>
      <c r="E112" s="2716"/>
      <c r="F112" s="2895"/>
      <c r="G112" s="2939"/>
      <c r="H112" s="2012"/>
      <c r="I112" s="1163" t="s">
        <v>1289</v>
      </c>
      <c r="J112" s="1083"/>
      <c r="K112" s="2012"/>
      <c r="L112" s="726"/>
      <c r="M112" s="853"/>
      <c r="N112" s="846"/>
      <c r="O112" s="2136"/>
      <c r="P112" s="2136"/>
      <c r="AH112" s="2143">
        <v>0</v>
      </c>
    </row>
    <row s="50801" customFormat="1" customHeight="1" ht="0.75" hidden="1">
      <c r="A113" s="2292"/>
      <c r="B113" s="2292"/>
      <c r="C113" s="881" t="s">
        <v>1297</v>
      </c>
      <c r="D113" s="2974"/>
      <c r="E113" s="2716"/>
      <c r="F113" s="2895"/>
      <c r="G113" s="912"/>
      <c r="H113" s="2012"/>
      <c r="I113" s="1163"/>
      <c r="J113" s="1083"/>
      <c r="K113" s="2012"/>
      <c r="L113" s="726"/>
      <c r="M113" s="853"/>
      <c r="N113" s="846"/>
      <c r="O113" s="2136"/>
      <c r="P113" s="2136"/>
      <c r="AH113" s="2143">
        <v>0</v>
      </c>
    </row>
    <row s="50801" customFormat="1" customHeight="1" ht="18.75" hidden="1">
      <c r="A114" s="2292" t="s">
        <v>286</v>
      </c>
      <c r="B114" s="2292" t="s">
        <v>287</v>
      </c>
      <c r="C114" s="881"/>
      <c r="D114" s="2974"/>
      <c r="E114" s="2716"/>
      <c r="F114" s="2895" t="str">
        <f>INDEX(PT_DIFFERENTIATION_VTAR,MATCH(A114,PT_DIFFERENTIATION_VTAR_ID,0))</f>
        <v>Тариф на питьевую воду (питьевое водоснабжение)</v>
      </c>
      <c r="G114" s="2939" t="str">
        <f>INDEX(PT_DIFFERENTIATION_NTAR,MATCH(B114,PT_DIFFERENTIATION_NTAR_ID,0))</f>
        <v>Тариф на питьевую воду для потребителей КГУП "Примтеплоэнерго"</v>
      </c>
      <c r="H114" s="2374"/>
      <c r="I114" s="2251"/>
      <c r="J114" s="2285"/>
      <c r="K114" s="2290"/>
      <c r="L114" s="2374" t="s">
        <v>445</v>
      </c>
      <c r="M114" s="853"/>
      <c r="N114" s="846"/>
      <c r="O114" s="2136"/>
      <c r="P114" s="2136"/>
      <c r="AH114" s="2143">
        <v>0</v>
      </c>
    </row>
    <row s="50801" customFormat="1" customHeight="1" ht="18.75" hidden="1">
      <c r="A115" s="2292"/>
      <c r="B115" s="2292"/>
      <c r="C115" s="881" t="s">
        <v>1290</v>
      </c>
      <c r="D115" s="2974"/>
      <c r="E115" s="2716"/>
      <c r="F115" s="2895"/>
      <c r="G115" s="2939"/>
      <c r="H115" s="2012"/>
      <c r="I115" s="1163" t="s">
        <v>1289</v>
      </c>
      <c r="J115" s="1083"/>
      <c r="K115" s="2012"/>
      <c r="L115" s="726"/>
      <c r="M115" s="853"/>
      <c r="N115" s="846"/>
      <c r="O115" s="2136"/>
      <c r="P115" s="2136"/>
      <c r="AH115" s="2143">
        <v>0</v>
      </c>
    </row>
    <row s="50801" customFormat="1" customHeight="1" ht="0.75" hidden="1">
      <c r="A116" s="2292"/>
      <c r="B116" s="2292"/>
      <c r="C116" s="881" t="s">
        <v>1297</v>
      </c>
      <c r="D116" s="2974"/>
      <c r="E116" s="2716"/>
      <c r="F116" s="2895"/>
      <c r="G116" s="912"/>
      <c r="H116" s="2012"/>
      <c r="I116" s="1163"/>
      <c r="J116" s="1083"/>
      <c r="K116" s="2012"/>
      <c r="L116" s="726"/>
      <c r="M116" s="853"/>
      <c r="N116" s="846"/>
      <c r="O116" s="2136"/>
      <c r="P116" s="2136"/>
      <c r="AH116" s="2143">
        <v>0</v>
      </c>
    </row>
    <row s="50801" customFormat="1" customHeight="1" ht="18.75" hidden="1">
      <c r="A117" s="2292" t="s">
        <v>369</v>
      </c>
      <c r="B117" s="2292" t="s">
        <v>370</v>
      </c>
      <c r="C117" s="881"/>
      <c r="D117" s="2974"/>
      <c r="E117" s="2716"/>
      <c r="F117" s="2895" t="str">
        <f>INDEX(PT_DIFFERENTIATION_VTAR,MATCH(A117,PT_DIFFERENTIATION_VTAR_ID,0))</f>
        <v>Тариф на техническую воду</v>
      </c>
      <c r="G117" s="2939" t="str">
        <f>INDEX(PT_DIFFERENTIATION_NTAR,MATCH(B117,PT_DIFFERENTIATION_NTAR_ID,0))</f>
        <v>Тариф на техническую воду</v>
      </c>
      <c r="H117" s="2374"/>
      <c r="I117" s="2251"/>
      <c r="J117" s="2285"/>
      <c r="K117" s="2290"/>
      <c r="L117" s="2374" t="s">
        <v>445</v>
      </c>
      <c r="M117" s="853"/>
      <c r="N117" s="846"/>
      <c r="O117" s="2136"/>
      <c r="P117" s="2136"/>
      <c r="AH117" s="2143">
        <v>0</v>
      </c>
    </row>
    <row s="50801" customFormat="1" customHeight="1" ht="18.75" hidden="1">
      <c r="A118" s="2292"/>
      <c r="B118" s="2292"/>
      <c r="C118" s="881" t="s">
        <v>1290</v>
      </c>
      <c r="D118" s="2974"/>
      <c r="E118" s="2716"/>
      <c r="F118" s="2895"/>
      <c r="G118" s="2939"/>
      <c r="H118" s="2012"/>
      <c r="I118" s="1163" t="s">
        <v>1289</v>
      </c>
      <c r="J118" s="1083"/>
      <c r="K118" s="2012"/>
      <c r="L118" s="726"/>
      <c r="M118" s="853"/>
      <c r="N118" s="846"/>
      <c r="O118" s="2136"/>
      <c r="P118" s="2136"/>
      <c r="AH118" s="2143">
        <v>0</v>
      </c>
    </row>
    <row s="50801" customFormat="1" customHeight="1" ht="0.75" hidden="1">
      <c r="A119" s="2292"/>
      <c r="B119" s="2292"/>
      <c r="C119" s="881" t="s">
        <v>1297</v>
      </c>
      <c r="D119" s="2974"/>
      <c r="E119" s="2716"/>
      <c r="F119" s="2895"/>
      <c r="G119" s="912"/>
      <c r="H119" s="2012"/>
      <c r="I119" s="1163"/>
      <c r="J119" s="1083"/>
      <c r="K119" s="2012"/>
      <c r="L119" s="726"/>
      <c r="M119" s="853"/>
      <c r="N119" s="846"/>
      <c r="O119" s="2136"/>
      <c r="P119" s="2136"/>
      <c r="AH119" s="2143">
        <v>0</v>
      </c>
    </row>
    <row s="50801" customFormat="1" customHeight="1" ht="18.75" hidden="1">
      <c r="A120" s="2292" t="s">
        <v>374</v>
      </c>
      <c r="B120" s="2292" t="s">
        <v>375</v>
      </c>
      <c r="C120" s="881"/>
      <c r="D120" s="2974"/>
      <c r="E120" s="2716"/>
      <c r="F120" s="2895" t="str">
        <f>INDEX(PT_DIFFERENTIATION_VTAR,MATCH(A120,PT_DIFFERENTIATION_VTAR_ID,0))</f>
        <v>Тариф на транспортировку воды</v>
      </c>
      <c r="G120" s="2939" t="str">
        <f>INDEX(PT_DIFFERENTIATION_NTAR,MATCH(B120,PT_DIFFERENTIATION_NTAR_ID,0))</f>
        <v/>
      </c>
      <c r="H120" s="2374"/>
      <c r="I120" s="2251"/>
      <c r="J120" s="2285"/>
      <c r="K120" s="2290"/>
      <c r="L120" s="2374" t="s">
        <v>445</v>
      </c>
      <c r="M120" s="853"/>
      <c r="N120" s="846"/>
      <c r="O120" s="2136"/>
      <c r="P120" s="2136"/>
      <c r="AH120" s="2143">
        <v>0</v>
      </c>
    </row>
    <row s="50801" customFormat="1" customHeight="1" ht="18.75" hidden="1">
      <c r="A121" s="2292"/>
      <c r="B121" s="2292"/>
      <c r="C121" s="881" t="s">
        <v>1290</v>
      </c>
      <c r="D121" s="2974"/>
      <c r="E121" s="2716"/>
      <c r="F121" s="2895"/>
      <c r="G121" s="2939"/>
      <c r="H121" s="2012"/>
      <c r="I121" s="1163" t="s">
        <v>1289</v>
      </c>
      <c r="J121" s="1083"/>
      <c r="K121" s="2012"/>
      <c r="L121" s="726"/>
      <c r="M121" s="853"/>
      <c r="N121" s="846"/>
      <c r="O121" s="2136"/>
      <c r="P121" s="2136"/>
      <c r="AH121" s="2143">
        <v>0</v>
      </c>
    </row>
    <row s="50801" customFormat="1" customHeight="1" ht="0.75" hidden="1">
      <c r="A122" s="2292"/>
      <c r="B122" s="2292"/>
      <c r="C122" s="881" t="s">
        <v>1297</v>
      </c>
      <c r="D122" s="2974"/>
      <c r="E122" s="2716"/>
      <c r="F122" s="2895"/>
      <c r="G122" s="912"/>
      <c r="H122" s="2012"/>
      <c r="I122" s="1163"/>
      <c r="J122" s="1083"/>
      <c r="K122" s="2012"/>
      <c r="L122" s="726"/>
      <c r="M122" s="853"/>
      <c r="N122" s="846"/>
      <c r="O122" s="2136"/>
      <c r="P122" s="2136"/>
      <c r="AH122" s="2143">
        <v>0</v>
      </c>
    </row>
    <row s="50801" customFormat="1" customHeight="1" ht="18.75" hidden="1">
      <c r="A123" s="2292" t="s">
        <v>379</v>
      </c>
      <c r="B123" s="2292" t="s">
        <v>380</v>
      </c>
      <c r="C123" s="881"/>
      <c r="D123" s="2974"/>
      <c r="E123" s="2716"/>
      <c r="F123" s="2895" t="str">
        <f>INDEX(PT_DIFFERENTIATION_VTAR,MATCH(A123,PT_DIFFERENTIATION_VTAR_ID,0))</f>
        <v>Тариф на подвоз воды</v>
      </c>
      <c r="G123" s="2939" t="str">
        <f>INDEX(PT_DIFFERENTIATION_NTAR,MATCH(B123,PT_DIFFERENTIATION_NTAR_ID,0))</f>
        <v/>
      </c>
      <c r="H123" s="2374"/>
      <c r="I123" s="2251"/>
      <c r="J123" s="2285"/>
      <c r="K123" s="2290"/>
      <c r="L123" s="2374" t="s">
        <v>445</v>
      </c>
      <c r="M123" s="853"/>
      <c r="N123" s="846"/>
      <c r="O123" s="2136"/>
      <c r="P123" s="2136"/>
      <c r="AH123" s="2143">
        <v>0</v>
      </c>
    </row>
    <row s="50801" customFormat="1" customHeight="1" ht="18.75" hidden="1">
      <c r="A124" s="2292"/>
      <c r="B124" s="2292"/>
      <c r="C124" s="881" t="s">
        <v>1290</v>
      </c>
      <c r="D124" s="2974"/>
      <c r="E124" s="2716"/>
      <c r="F124" s="2895"/>
      <c r="G124" s="2939"/>
      <c r="H124" s="2012"/>
      <c r="I124" s="1163" t="s">
        <v>1289</v>
      </c>
      <c r="J124" s="1083"/>
      <c r="K124" s="2012"/>
      <c r="L124" s="726"/>
      <c r="M124" s="853"/>
      <c r="N124" s="846"/>
      <c r="O124" s="2136"/>
      <c r="P124" s="2136"/>
      <c r="AH124" s="2143">
        <v>0</v>
      </c>
    </row>
    <row s="50801" customFormat="1" customHeight="1" ht="0.75" hidden="1">
      <c r="A125" s="2292"/>
      <c r="B125" s="2292"/>
      <c r="C125" s="881" t="s">
        <v>1297</v>
      </c>
      <c r="D125" s="2974"/>
      <c r="E125" s="2716"/>
      <c r="F125" s="2895"/>
      <c r="G125" s="912"/>
      <c r="H125" s="2012"/>
      <c r="I125" s="1163"/>
      <c r="J125" s="1083"/>
      <c r="K125" s="2012"/>
      <c r="L125" s="726"/>
      <c r="M125" s="853"/>
      <c r="N125" s="846"/>
      <c r="O125" s="2136"/>
      <c r="P125" s="2136"/>
      <c r="AH125" s="2143">
        <v>0</v>
      </c>
    </row>
    <row s="50801" customFormat="1" customHeight="1" ht="18.75" hidden="1">
      <c r="A126" s="2292" t="s">
        <v>384</v>
      </c>
      <c r="B126" s="2292" t="s">
        <v>385</v>
      </c>
      <c r="C126" s="881"/>
      <c r="D126" s="2974"/>
      <c r="E126" s="2716"/>
      <c r="F126" s="28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9" t="str">
        <f>INDEX(PT_DIFFERENTIATION_NTAR,MATCH(B126,PT_DIFFERENTIATION_NTAR_ID,0))</f>
        <v/>
      </c>
      <c r="H126" s="2374"/>
      <c r="I126" s="2251"/>
      <c r="J126" s="2285"/>
      <c r="K126" s="2290"/>
      <c r="L126" s="2374" t="s">
        <v>445</v>
      </c>
      <c r="M126" s="853"/>
      <c r="N126" s="846"/>
      <c r="O126" s="2136"/>
      <c r="P126" s="2136"/>
      <c r="AH126" s="2143">
        <v>0</v>
      </c>
    </row>
    <row s="50801" customFormat="1" customHeight="1" ht="18.75" hidden="1">
      <c r="A127" s="2292"/>
      <c r="B127" s="2292"/>
      <c r="C127" s="881" t="s">
        <v>1290</v>
      </c>
      <c r="D127" s="2974"/>
      <c r="E127" s="2716"/>
      <c r="F127" s="2895"/>
      <c r="G127" s="2939"/>
      <c r="H127" s="2012"/>
      <c r="I127" s="1163" t="s">
        <v>1289</v>
      </c>
      <c r="J127" s="1083"/>
      <c r="K127" s="2012"/>
      <c r="L127" s="726"/>
      <c r="M127" s="853"/>
      <c r="N127" s="846"/>
      <c r="O127" s="2136"/>
      <c r="P127" s="2136"/>
      <c r="AH127" s="2143">
        <v>0</v>
      </c>
    </row>
    <row s="50801" customFormat="1" customHeight="1" ht="0.75" hidden="1">
      <c r="A128" s="2292"/>
      <c r="B128" s="2292"/>
      <c r="C128" s="881" t="s">
        <v>1297</v>
      </c>
      <c r="D128" s="2974"/>
      <c r="E128" s="2716"/>
      <c r="F128" s="2895"/>
      <c r="G128" s="912"/>
      <c r="H128" s="2012"/>
      <c r="I128" s="1163"/>
      <c r="J128" s="1083"/>
      <c r="K128" s="2012"/>
      <c r="L128" s="726"/>
      <c r="M128" s="853"/>
      <c r="N128" s="846"/>
      <c r="O128" s="2136"/>
      <c r="P128" s="2136"/>
      <c r="AH128" s="2143">
        <v>0</v>
      </c>
    </row>
    <row s="50801" customFormat="1" customHeight="1" ht="18.75" hidden="1">
      <c r="A129" s="2292" t="s">
        <v>389</v>
      </c>
      <c r="B129" s="2292" t="s">
        <v>390</v>
      </c>
      <c r="C129" s="881"/>
      <c r="D129" s="2974"/>
      <c r="E129" s="2716"/>
      <c r="F129" s="2895" t="str">
        <f>INDEX(PT_DIFFERENTIATION_VTAR,MATCH(A129,PT_DIFFERENTIATION_VTAR_ID,0))</f>
        <v>Тариф на горячую воду (горячее водоснабжение)</v>
      </c>
      <c r="G129" s="2939" t="str">
        <f>INDEX(PT_DIFFERENTIATION_NTAR,MATCH(B129,PT_DIFFERENTIATION_NTAR_ID,0))</f>
        <v/>
      </c>
      <c r="H129" s="2374"/>
      <c r="I129" s="2251"/>
      <c r="J129" s="2285"/>
      <c r="K129" s="2290"/>
      <c r="L129" s="2374" t="s">
        <v>445</v>
      </c>
      <c r="M129" s="853"/>
      <c r="N129" s="846"/>
      <c r="O129" s="2136"/>
      <c r="P129" s="2136"/>
      <c r="AH129" s="2143">
        <v>0</v>
      </c>
    </row>
    <row s="50801" customFormat="1" customHeight="1" ht="18.75" hidden="1">
      <c r="A130" s="2292"/>
      <c r="B130" s="2292"/>
      <c r="C130" s="881" t="s">
        <v>1290</v>
      </c>
      <c r="D130" s="2974"/>
      <c r="E130" s="2716"/>
      <c r="F130" s="2895"/>
      <c r="G130" s="2939"/>
      <c r="H130" s="2012"/>
      <c r="I130" s="1163" t="s">
        <v>1289</v>
      </c>
      <c r="J130" s="1083"/>
      <c r="K130" s="2012"/>
      <c r="L130" s="726"/>
      <c r="M130" s="853"/>
      <c r="N130" s="846"/>
      <c r="O130" s="2136"/>
      <c r="P130" s="2136"/>
      <c r="AH130" s="2143">
        <v>0</v>
      </c>
    </row>
    <row s="50801" customFormat="1" customHeight="1" ht="0.75" hidden="1">
      <c r="A131" s="2292"/>
      <c r="B131" s="2292"/>
      <c r="C131" s="881" t="s">
        <v>1297</v>
      </c>
      <c r="D131" s="2974"/>
      <c r="E131" s="2716"/>
      <c r="F131" s="2895"/>
      <c r="G131" s="912"/>
      <c r="H131" s="2012"/>
      <c r="I131" s="1163"/>
      <c r="J131" s="1083"/>
      <c r="K131" s="2012"/>
      <c r="L131" s="726"/>
      <c r="M131" s="853"/>
      <c r="N131" s="846"/>
      <c r="O131" s="2136"/>
      <c r="P131" s="2136"/>
      <c r="AH131" s="2143">
        <v>0</v>
      </c>
    </row>
    <row s="50801" customFormat="1" customHeight="1" ht="18.75" hidden="1">
      <c r="A132" s="2292" t="s">
        <v>394</v>
      </c>
      <c r="B132" s="2292" t="s">
        <v>395</v>
      </c>
      <c r="C132" s="881"/>
      <c r="D132" s="2974"/>
      <c r="E132" s="2716"/>
      <c r="F132" s="2895" t="str">
        <f>INDEX(PT_DIFFERENTIATION_VTAR,MATCH(A132,PT_DIFFERENTIATION_VTAR_ID,0))</f>
        <v>Тариф на транспортировку горячей воды</v>
      </c>
      <c r="G132" s="2939" t="str">
        <f>INDEX(PT_DIFFERENTIATION_NTAR,MATCH(B132,PT_DIFFERENTIATION_NTAR_ID,0))</f>
        <v/>
      </c>
      <c r="H132" s="2374"/>
      <c r="I132" s="2251"/>
      <c r="J132" s="2285"/>
      <c r="K132" s="2290"/>
      <c r="L132" s="2374" t="s">
        <v>445</v>
      </c>
      <c r="M132" s="853"/>
      <c r="N132" s="846"/>
      <c r="O132" s="2136"/>
      <c r="P132" s="2136"/>
      <c r="AH132" s="2143">
        <v>0</v>
      </c>
    </row>
    <row s="50801" customFormat="1" customHeight="1" ht="18.75" hidden="1">
      <c r="A133" s="2292"/>
      <c r="B133" s="2292"/>
      <c r="C133" s="881" t="s">
        <v>1290</v>
      </c>
      <c r="D133" s="2974"/>
      <c r="E133" s="2716"/>
      <c r="F133" s="2895"/>
      <c r="G133" s="2939"/>
      <c r="H133" s="2012"/>
      <c r="I133" s="1163" t="s">
        <v>1289</v>
      </c>
      <c r="J133" s="1083"/>
      <c r="K133" s="2012"/>
      <c r="L133" s="726"/>
      <c r="M133" s="853"/>
      <c r="N133" s="846"/>
      <c r="O133" s="2136"/>
      <c r="P133" s="2136"/>
      <c r="AH133" s="2143">
        <v>0</v>
      </c>
    </row>
    <row s="50801" customFormat="1" customHeight="1" ht="0.75" hidden="1">
      <c r="A134" s="2292"/>
      <c r="B134" s="2292"/>
      <c r="C134" s="881" t="s">
        <v>1297</v>
      </c>
      <c r="D134" s="2974"/>
      <c r="E134" s="2716"/>
      <c r="F134" s="2895"/>
      <c r="G134" s="912"/>
      <c r="H134" s="2012"/>
      <c r="I134" s="1163"/>
      <c r="J134" s="1083"/>
      <c r="K134" s="2012"/>
      <c r="L134" s="726"/>
      <c r="M134" s="853"/>
      <c r="N134" s="846"/>
      <c r="O134" s="2136"/>
      <c r="P134" s="2136"/>
      <c r="AH134" s="2143">
        <v>0</v>
      </c>
    </row>
    <row s="50801" customFormat="1" customHeight="1" ht="18.75" hidden="1">
      <c r="A135" s="2292" t="s">
        <v>399</v>
      </c>
      <c r="B135" s="2292" t="s">
        <v>400</v>
      </c>
      <c r="C135" s="881"/>
      <c r="D135" s="2974"/>
      <c r="E135" s="2716"/>
      <c r="F135" s="28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9" t="str">
        <f>INDEX(PT_DIFFERENTIATION_NTAR,MATCH(B135,PT_DIFFERENTIATION_NTAR_ID,0))</f>
        <v/>
      </c>
      <c r="H135" s="2374"/>
      <c r="I135" s="2251"/>
      <c r="J135" s="2285"/>
      <c r="K135" s="2290"/>
      <c r="L135" s="2374" t="s">
        <v>445</v>
      </c>
      <c r="M135" s="853"/>
      <c r="N135" s="846"/>
      <c r="O135" s="2136"/>
      <c r="P135" s="2136"/>
      <c r="AH135" s="2143">
        <v>0</v>
      </c>
    </row>
    <row s="50801" customFormat="1" customHeight="1" ht="18.75" hidden="1">
      <c r="A136" s="2292"/>
      <c r="B136" s="2292"/>
      <c r="C136" s="881" t="s">
        <v>1290</v>
      </c>
      <c r="D136" s="2974"/>
      <c r="E136" s="2716"/>
      <c r="F136" s="2895"/>
      <c r="G136" s="2939"/>
      <c r="H136" s="2012"/>
      <c r="I136" s="1163" t="s">
        <v>1289</v>
      </c>
      <c r="J136" s="1083"/>
      <c r="K136" s="2012"/>
      <c r="L136" s="726"/>
      <c r="M136" s="853"/>
      <c r="N136" s="846"/>
      <c r="O136" s="2136"/>
      <c r="P136" s="2136"/>
      <c r="AH136" s="2143">
        <v>0</v>
      </c>
    </row>
    <row s="50801" customFormat="1" customHeight="1" ht="0.75" hidden="1">
      <c r="A137" s="2292"/>
      <c r="B137" s="2292"/>
      <c r="C137" s="881" t="s">
        <v>1297</v>
      </c>
      <c r="D137" s="2974"/>
      <c r="E137" s="2716"/>
      <c r="F137" s="2895"/>
      <c r="G137" s="912"/>
      <c r="H137" s="2012"/>
      <c r="I137" s="1163"/>
      <c r="J137" s="1083"/>
      <c r="K137" s="2012"/>
      <c r="L137" s="726"/>
      <c r="M137" s="853"/>
      <c r="N137" s="846"/>
      <c r="O137" s="2136"/>
      <c r="P137" s="2136"/>
      <c r="AH137" s="2143">
        <v>0</v>
      </c>
    </row>
    <row s="50801" customFormat="1" customHeight="1" ht="18.75" hidden="1">
      <c r="A138" s="2292" t="s">
        <v>404</v>
      </c>
      <c r="B138" s="2292" t="s">
        <v>405</v>
      </c>
      <c r="C138" s="881"/>
      <c r="D138" s="2974"/>
      <c r="E138" s="2716"/>
      <c r="F138" s="2895" t="str">
        <f>INDEX(PT_DIFFERENTIATION_VTAR,MATCH(A138,PT_DIFFERENTIATION_VTAR_ID,0))</f>
        <v>Тариф на водоотведение</v>
      </c>
      <c r="G138" s="2939" t="str">
        <f>INDEX(PT_DIFFERENTIATION_NTAR,MATCH(B138,PT_DIFFERENTIATION_NTAR_ID,0))</f>
        <v/>
      </c>
      <c r="H138" s="2374"/>
      <c r="I138" s="2251"/>
      <c r="J138" s="2285"/>
      <c r="K138" s="2290"/>
      <c r="L138" s="2374" t="s">
        <v>445</v>
      </c>
      <c r="M138" s="853"/>
      <c r="N138" s="846"/>
      <c r="O138" s="2136"/>
      <c r="P138" s="2136"/>
      <c r="AH138" s="2143">
        <v>0</v>
      </c>
    </row>
    <row s="50801" customFormat="1" customHeight="1" ht="18.75" hidden="1">
      <c r="A139" s="2292"/>
      <c r="B139" s="2292"/>
      <c r="C139" s="881" t="s">
        <v>1290</v>
      </c>
      <c r="D139" s="2974"/>
      <c r="E139" s="2716"/>
      <c r="F139" s="2895"/>
      <c r="G139" s="2939"/>
      <c r="H139" s="2012"/>
      <c r="I139" s="1163" t="s">
        <v>1289</v>
      </c>
      <c r="J139" s="1083"/>
      <c r="K139" s="2012"/>
      <c r="L139" s="726"/>
      <c r="M139" s="853"/>
      <c r="N139" s="846"/>
      <c r="O139" s="2136"/>
      <c r="P139" s="2136"/>
      <c r="AH139" s="2143">
        <v>0</v>
      </c>
    </row>
    <row s="50801" customFormat="1" customHeight="1" ht="0.75" hidden="1">
      <c r="A140" s="2292"/>
      <c r="B140" s="2292"/>
      <c r="C140" s="881" t="s">
        <v>1297</v>
      </c>
      <c r="D140" s="2974"/>
      <c r="E140" s="2716"/>
      <c r="F140" s="2895"/>
      <c r="G140" s="912"/>
      <c r="H140" s="2012"/>
      <c r="I140" s="1163"/>
      <c r="J140" s="1083"/>
      <c r="K140" s="2012"/>
      <c r="L140" s="726"/>
      <c r="M140" s="853"/>
      <c r="N140" s="846"/>
      <c r="O140" s="2136"/>
      <c r="P140" s="2136"/>
      <c r="AH140" s="2143">
        <v>0</v>
      </c>
    </row>
    <row s="50801" customFormat="1" customHeight="1" ht="18.75" hidden="1">
      <c r="A141" s="2292" t="s">
        <v>409</v>
      </c>
      <c r="B141" s="2292" t="s">
        <v>410</v>
      </c>
      <c r="C141" s="881"/>
      <c r="D141" s="2974"/>
      <c r="E141" s="2716"/>
      <c r="F141" s="2895" t="str">
        <f>INDEX(PT_DIFFERENTIATION_VTAR,MATCH(A141,PT_DIFFERENTIATION_VTAR_ID,0))</f>
        <v>Тариф на транспортировку сточных вод</v>
      </c>
      <c r="G141" s="2939" t="str">
        <f>INDEX(PT_DIFFERENTIATION_NTAR,MATCH(B141,PT_DIFFERENTIATION_NTAR_ID,0))</f>
        <v/>
      </c>
      <c r="H141" s="2374"/>
      <c r="I141" s="2251"/>
      <c r="J141" s="2285"/>
      <c r="K141" s="2290"/>
      <c r="L141" s="2374" t="s">
        <v>445</v>
      </c>
      <c r="M141" s="853"/>
      <c r="N141" s="846"/>
      <c r="O141" s="2136"/>
      <c r="P141" s="2136"/>
      <c r="AH141" s="2143">
        <v>0</v>
      </c>
    </row>
    <row s="50801" customFormat="1" customHeight="1" ht="18.75" hidden="1">
      <c r="A142" s="2292"/>
      <c r="B142" s="2292"/>
      <c r="C142" s="881" t="s">
        <v>1290</v>
      </c>
      <c r="D142" s="2974"/>
      <c r="E142" s="2716"/>
      <c r="F142" s="2895"/>
      <c r="G142" s="2939"/>
      <c r="H142" s="2012"/>
      <c r="I142" s="1163" t="s">
        <v>1289</v>
      </c>
      <c r="J142" s="1083"/>
      <c r="K142" s="2012"/>
      <c r="L142" s="726"/>
      <c r="M142" s="853"/>
      <c r="N142" s="846"/>
      <c r="O142" s="2136"/>
      <c r="P142" s="2136"/>
      <c r="AH142" s="2143">
        <v>0</v>
      </c>
    </row>
    <row s="50801" customFormat="1" customHeight="1" ht="0.75" hidden="1">
      <c r="A143" s="2292"/>
      <c r="B143" s="2292"/>
      <c r="C143" s="881" t="s">
        <v>1297</v>
      </c>
      <c r="D143" s="2974"/>
      <c r="E143" s="2716"/>
      <c r="F143" s="2895"/>
      <c r="G143" s="912"/>
      <c r="H143" s="2012"/>
      <c r="I143" s="1163"/>
      <c r="J143" s="1083"/>
      <c r="K143" s="2012"/>
      <c r="L143" s="726"/>
      <c r="M143" s="853"/>
      <c r="N143" s="846"/>
      <c r="O143" s="2136"/>
      <c r="P143" s="2136"/>
      <c r="AH143" s="2143">
        <v>0</v>
      </c>
    </row>
    <row s="50801" customFormat="1" customHeight="1" ht="18.75" hidden="1">
      <c r="A144" s="2292" t="s">
        <v>414</v>
      </c>
      <c r="B144" s="2292" t="s">
        <v>415</v>
      </c>
      <c r="C144" s="881"/>
      <c r="D144" s="2974"/>
      <c r="E144" s="2716"/>
      <c r="F144" s="2895" t="str">
        <f>INDEX(PT_DIFFERENTIATION_VTAR,MATCH(A144,PT_DIFFERENTIATION_VTAR_ID,0))</f>
        <v>Тариф на подключение (технологическое присоединение) к централизованной системе водоотведения</v>
      </c>
      <c r="G144" s="2939" t="str">
        <f>INDEX(PT_DIFFERENTIATION_NTAR,MATCH(B144,PT_DIFFERENTIATION_NTAR_ID,0))</f>
        <v/>
      </c>
      <c r="H144" s="2374"/>
      <c r="I144" s="2251"/>
      <c r="J144" s="2285"/>
      <c r="K144" s="2290"/>
      <c r="L144" s="2374" t="s">
        <v>445</v>
      </c>
      <c r="M144" s="853"/>
      <c r="N144" s="846"/>
      <c r="O144" s="2136"/>
      <c r="P144" s="2136"/>
      <c r="AH144" s="2143">
        <v>0</v>
      </c>
    </row>
    <row s="50801" customFormat="1" customHeight="1" ht="18.75" hidden="1">
      <c r="A145" s="2292"/>
      <c r="B145" s="2292"/>
      <c r="C145" s="881" t="s">
        <v>1290</v>
      </c>
      <c r="D145" s="2974"/>
      <c r="E145" s="2716"/>
      <c r="F145" s="2895"/>
      <c r="G145" s="2939"/>
      <c r="H145" s="2012"/>
      <c r="I145" s="1163" t="s">
        <v>1289</v>
      </c>
      <c r="J145" s="1083"/>
      <c r="K145" s="2012"/>
      <c r="L145" s="726"/>
      <c r="M145" s="853"/>
      <c r="N145" s="846"/>
      <c r="O145" s="2136"/>
      <c r="P145" s="2136"/>
      <c r="AH145" s="2143">
        <v>0</v>
      </c>
    </row>
    <row s="50801" customFormat="1" customHeight="1" ht="1.05">
      <c r="A146" s="2292"/>
      <c r="B146" s="2292"/>
      <c r="C146" s="881" t="s">
        <v>1297</v>
      </c>
      <c r="D146" s="2974"/>
      <c r="E146" s="2716"/>
      <c r="F146" s="2895"/>
      <c r="G146" s="912"/>
      <c r="H146" s="2012"/>
      <c r="I146" s="1163"/>
      <c r="J146" s="1083"/>
      <c r="K146" s="2012"/>
      <c r="L146" s="726"/>
      <c r="M146" s="853"/>
      <c r="N146" s="846"/>
      <c r="O146" s="2136"/>
      <c r="P146" s="2136"/>
      <c r="AH146" s="2143">
        <v>1</v>
      </c>
    </row>
    <row customHeight="1" ht="19.95">
      <c r="A147" s="2292"/>
      <c r="B147" s="2292"/>
      <c r="D147" s="888"/>
      <c r="E147" s="659" t="s">
        <v>93</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72"/>
      <c r="H147" s="2972"/>
      <c r="I147" s="2972"/>
      <c r="J147" s="2972"/>
      <c r="K147" s="2972"/>
      <c r="L147" s="2972"/>
      <c r="M147" s="809"/>
      <c r="N147" s="846"/>
      <c r="AH147" s="886">
        <v>19</v>
      </c>
    </row>
    <row s="50801" customFormat="1" customHeight="1" ht="60.75" hidden="1">
      <c r="A148" s="2292" t="s">
        <v>215</v>
      </c>
      <c r="B148" s="2292" t="s">
        <v>216</v>
      </c>
      <c r="C148" s="881"/>
      <c r="D148" s="2974"/>
      <c r="E148" s="2716"/>
      <c r="F148" s="28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9" t="str">
        <f>INDEX(PT_DIFFERENTIATION_NTAR,MATCH(B148,PT_DIFFERENTIATION_NTAR_ID,0))</f>
        <v/>
      </c>
      <c r="H148" s="2374"/>
      <c r="I148" s="2251"/>
      <c r="J148" s="2285"/>
      <c r="K148" s="2290"/>
      <c r="L148" s="2374" t="s">
        <v>445</v>
      </c>
      <c r="M148"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846"/>
      <c r="O148" s="2136"/>
      <c r="P148" s="2136"/>
      <c r="AH148" s="2143">
        <v>0</v>
      </c>
    </row>
    <row s="50801" customFormat="1" customHeight="1" ht="18.75" hidden="1">
      <c r="A149" s="2292"/>
      <c r="B149" s="2292"/>
      <c r="C149" s="881" t="s">
        <v>1290</v>
      </c>
      <c r="D149" s="2974"/>
      <c r="E149" s="2716"/>
      <c r="F149" s="2895"/>
      <c r="G149" s="2939"/>
      <c r="H149" s="2012"/>
      <c r="I149" s="1163" t="s">
        <v>1289</v>
      </c>
      <c r="J149" s="1083"/>
      <c r="K149" s="2012"/>
      <c r="L149" s="726"/>
      <c r="M149" s="2682"/>
      <c r="N149" s="846"/>
      <c r="O149" s="2136"/>
      <c r="P149" s="2136"/>
      <c r="AH149" s="2143">
        <v>0</v>
      </c>
    </row>
    <row s="50801" customFormat="1" customHeight="1" ht="0.75" hidden="1">
      <c r="A150" s="2292"/>
      <c r="B150" s="2292"/>
      <c r="C150" s="881" t="s">
        <v>1297</v>
      </c>
      <c r="D150" s="2974"/>
      <c r="E150" s="2716"/>
      <c r="F150" s="2895"/>
      <c r="G150" s="912"/>
      <c r="H150" s="2012"/>
      <c r="I150" s="1163"/>
      <c r="J150" s="1083"/>
      <c r="K150" s="2012"/>
      <c r="L150" s="726"/>
      <c r="M150" s="2682"/>
      <c r="N150" s="846"/>
      <c r="O150" s="2136"/>
      <c r="P150" s="2136"/>
      <c r="AH150" s="2143">
        <v>0</v>
      </c>
    </row>
    <row s="50801" customFormat="1" customHeight="1" ht="45" hidden="1">
      <c r="A151" s="2292" t="s">
        <v>220</v>
      </c>
      <c r="B151" s="2292" t="s">
        <v>221</v>
      </c>
      <c r="C151" s="881"/>
      <c r="D151" s="2974"/>
      <c r="E151" s="2716"/>
      <c r="F151" s="2895" t="str">
        <f>INDEX(PT_DIFFERENTIATION_VTAR,MATCH(A151,PT_DIFFERENTIATION_VTAR_ID,0))</f>
        <v/>
      </c>
      <c r="G151" s="2939" t="str">
        <f>INDEX(PT_DIFFERENTIATION_NTAR,MATCH(B151,PT_DIFFERENTIATION_NTAR_ID,0))</f>
        <v/>
      </c>
      <c r="H151" s="2374"/>
      <c r="I151" s="2251"/>
      <c r="J151" s="2285"/>
      <c r="K151" s="2290"/>
      <c r="L151" s="2374" t="s">
        <v>445</v>
      </c>
      <c r="M151" s="2683"/>
      <c r="N151" s="846"/>
      <c r="O151" s="2136"/>
      <c r="P151" s="2136"/>
      <c r="AH151" s="2143">
        <v>0</v>
      </c>
    </row>
    <row s="50801" customFormat="1" customHeight="1" ht="18.75" hidden="1">
      <c r="A152" s="2292"/>
      <c r="B152" s="2292"/>
      <c r="C152" s="881" t="s">
        <v>1290</v>
      </c>
      <c r="D152" s="2974"/>
      <c r="E152" s="2716"/>
      <c r="F152" s="2895"/>
      <c r="G152" s="2939"/>
      <c r="H152" s="2012"/>
      <c r="I152" s="1163" t="s">
        <v>1289</v>
      </c>
      <c r="J152" s="1083"/>
      <c r="K152" s="2012"/>
      <c r="L152" s="726"/>
      <c r="M152" s="2373"/>
      <c r="N152" s="846"/>
      <c r="O152" s="2136"/>
      <c r="P152" s="2136"/>
      <c r="AH152" s="2143">
        <v>0</v>
      </c>
    </row>
    <row s="50801" customFormat="1" customHeight="1" ht="0.75" hidden="1">
      <c r="A153" s="2292"/>
      <c r="B153" s="2292"/>
      <c r="C153" s="881" t="s">
        <v>1297</v>
      </c>
      <c r="D153" s="2974"/>
      <c r="E153" s="2716"/>
      <c r="F153" s="2895"/>
      <c r="G153" s="912"/>
      <c r="H153" s="2012"/>
      <c r="I153" s="1163"/>
      <c r="J153" s="1083"/>
      <c r="K153" s="2012"/>
      <c r="L153" s="726"/>
      <c r="M153" s="853"/>
      <c r="N153" s="846"/>
      <c r="O153" s="2136"/>
      <c r="P153" s="2136"/>
      <c r="AH153" s="2143">
        <v>0</v>
      </c>
    </row>
    <row s="50801" customFormat="1" customHeight="1" ht="45" hidden="1">
      <c r="A154" s="2292" t="s">
        <v>227</v>
      </c>
      <c r="B154" s="2292" t="s">
        <v>228</v>
      </c>
      <c r="C154" s="881"/>
      <c r="D154" s="2974"/>
      <c r="E154" s="2716"/>
      <c r="F154" s="28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9" t="str">
        <f>INDEX(PT_DIFFERENTIATION_NTAR,MATCH(B154,PT_DIFFERENTIATION_NTAR_ID,0))</f>
        <v/>
      </c>
      <c r="H154" s="2374"/>
      <c r="I154" s="2251"/>
      <c r="J154" s="2285"/>
      <c r="K154" s="2290"/>
      <c r="L154" s="2374" t="s">
        <v>445</v>
      </c>
      <c r="M154" s="853"/>
      <c r="N154" s="846"/>
      <c r="O154" s="2136"/>
      <c r="P154" s="2136"/>
      <c r="AH154" s="2143">
        <v>0</v>
      </c>
    </row>
    <row s="50801" customFormat="1" customHeight="1" ht="18.75" hidden="1">
      <c r="A155" s="2292"/>
      <c r="B155" s="2292"/>
      <c r="C155" s="881" t="s">
        <v>1290</v>
      </c>
      <c r="D155" s="2974"/>
      <c r="E155" s="2716"/>
      <c r="F155" s="2895"/>
      <c r="G155" s="2939"/>
      <c r="H155" s="2012"/>
      <c r="I155" s="1163" t="s">
        <v>1289</v>
      </c>
      <c r="J155" s="1083"/>
      <c r="K155" s="2012"/>
      <c r="L155" s="726"/>
      <c r="M155" s="853"/>
      <c r="N155" s="846"/>
      <c r="O155" s="2136"/>
      <c r="P155" s="2136"/>
      <c r="AH155" s="2143">
        <v>0</v>
      </c>
    </row>
    <row s="50801" customFormat="1" customHeight="1" ht="0.75" hidden="1">
      <c r="A156" s="2292"/>
      <c r="B156" s="2292"/>
      <c r="C156" s="881" t="s">
        <v>1297</v>
      </c>
      <c r="D156" s="2974"/>
      <c r="E156" s="2716"/>
      <c r="F156" s="2895"/>
      <c r="G156" s="912"/>
      <c r="H156" s="2012"/>
      <c r="I156" s="1163"/>
      <c r="J156" s="1083"/>
      <c r="K156" s="2012"/>
      <c r="L156" s="726"/>
      <c r="M156" s="853"/>
      <c r="N156" s="846"/>
      <c r="O156" s="2136"/>
      <c r="P156" s="2136"/>
      <c r="AH156" s="2143">
        <v>0</v>
      </c>
    </row>
    <row s="50801" customFormat="1" customHeight="1" ht="45" hidden="1">
      <c r="A157" s="2292" t="s">
        <v>233</v>
      </c>
      <c r="B157" s="2292" t="s">
        <v>234</v>
      </c>
      <c r="C157" s="881"/>
      <c r="D157" s="2974"/>
      <c r="E157" s="2716"/>
      <c r="F157" s="28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9" t="str">
        <f>INDEX(PT_DIFFERENTIATION_NTAR,MATCH(B157,PT_DIFFERENTIATION_NTAR_ID,0))</f>
        <v/>
      </c>
      <c r="H157" s="2374"/>
      <c r="I157" s="2251"/>
      <c r="J157" s="2285"/>
      <c r="K157" s="2290"/>
      <c r="L157" s="2374" t="s">
        <v>445</v>
      </c>
      <c r="M157" s="853"/>
      <c r="N157" s="846"/>
      <c r="O157" s="2136"/>
      <c r="P157" s="2136"/>
      <c r="AH157" s="2143">
        <v>0</v>
      </c>
    </row>
    <row s="50801" customFormat="1" customHeight="1" ht="18.75" hidden="1">
      <c r="A158" s="2292"/>
      <c r="B158" s="2292"/>
      <c r="C158" s="881" t="s">
        <v>1290</v>
      </c>
      <c r="D158" s="2974"/>
      <c r="E158" s="2716"/>
      <c r="F158" s="2895"/>
      <c r="G158" s="2939"/>
      <c r="H158" s="2012"/>
      <c r="I158" s="1163" t="s">
        <v>1289</v>
      </c>
      <c r="J158" s="1083"/>
      <c r="K158" s="2012"/>
      <c r="L158" s="726"/>
      <c r="M158" s="853"/>
      <c r="N158" s="846"/>
      <c r="O158" s="2136"/>
      <c r="P158" s="2136"/>
      <c r="AH158" s="2143">
        <v>0</v>
      </c>
    </row>
    <row s="50801" customFormat="1" customHeight="1" ht="0.75" hidden="1">
      <c r="A159" s="2292"/>
      <c r="B159" s="2292"/>
      <c r="C159" s="881" t="s">
        <v>1297</v>
      </c>
      <c r="D159" s="2974"/>
      <c r="E159" s="2716"/>
      <c r="F159" s="2895"/>
      <c r="G159" s="912"/>
      <c r="H159" s="2012"/>
      <c r="I159" s="1163"/>
      <c r="J159" s="1083"/>
      <c r="K159" s="2012"/>
      <c r="L159" s="726"/>
      <c r="M159" s="853"/>
      <c r="N159" s="846"/>
      <c r="O159" s="2136"/>
      <c r="P159" s="2136"/>
      <c r="AH159" s="2143">
        <v>0</v>
      </c>
    </row>
    <row s="50801" customFormat="1" customHeight="1" ht="18.75" hidden="1">
      <c r="A160" s="2292" t="s">
        <v>239</v>
      </c>
      <c r="B160" s="2292" t="s">
        <v>240</v>
      </c>
      <c r="C160" s="881"/>
      <c r="D160" s="2974"/>
      <c r="E160" s="2716"/>
      <c r="F160" s="2895" t="str">
        <f>INDEX(PT_DIFFERENTIATION_VTAR,MATCH(A160,PT_DIFFERENTIATION_VTAR_ID,0))</f>
        <v>Тарифы на услуги по передаче тепловой энергии</v>
      </c>
      <c r="G160" s="2939" t="str">
        <f>INDEX(PT_DIFFERENTIATION_NTAR,MATCH(B160,PT_DIFFERENTIATION_NTAR_ID,0))</f>
        <v/>
      </c>
      <c r="H160" s="2374"/>
      <c r="I160" s="2251"/>
      <c r="J160" s="2285"/>
      <c r="K160" s="2290"/>
      <c r="L160" s="2374" t="s">
        <v>445</v>
      </c>
      <c r="M160" s="853"/>
      <c r="N160" s="846"/>
      <c r="O160" s="2136"/>
      <c r="P160" s="2136"/>
      <c r="AH160" s="2143">
        <v>0</v>
      </c>
    </row>
    <row s="50801" customFormat="1" customHeight="1" ht="18.75" hidden="1">
      <c r="A161" s="2292"/>
      <c r="B161" s="2292"/>
      <c r="C161" s="881" t="s">
        <v>1290</v>
      </c>
      <c r="D161" s="2974"/>
      <c r="E161" s="2716"/>
      <c r="F161" s="2895"/>
      <c r="G161" s="2939"/>
      <c r="H161" s="2012"/>
      <c r="I161" s="1163" t="s">
        <v>1289</v>
      </c>
      <c r="J161" s="1083"/>
      <c r="K161" s="2012"/>
      <c r="L161" s="726"/>
      <c r="M161" s="853"/>
      <c r="N161" s="846"/>
      <c r="O161" s="2136"/>
      <c r="P161" s="2136"/>
      <c r="AH161" s="2143">
        <v>0</v>
      </c>
    </row>
    <row s="50801" customFormat="1" customHeight="1" ht="0.75" hidden="1">
      <c r="A162" s="2292"/>
      <c r="B162" s="2292"/>
      <c r="C162" s="881" t="s">
        <v>1297</v>
      </c>
      <c r="D162" s="2974"/>
      <c r="E162" s="2716"/>
      <c r="F162" s="2895"/>
      <c r="G162" s="912"/>
      <c r="H162" s="2012"/>
      <c r="I162" s="1163"/>
      <c r="J162" s="1083"/>
      <c r="K162" s="2012"/>
      <c r="L162" s="726"/>
      <c r="M162" s="853"/>
      <c r="N162" s="846"/>
      <c r="O162" s="2136"/>
      <c r="P162" s="2136"/>
      <c r="AH162" s="2143">
        <v>0</v>
      </c>
    </row>
    <row s="50801" customFormat="1" customHeight="1" ht="18.75" hidden="1">
      <c r="A163" s="2292" t="s">
        <v>245</v>
      </c>
      <c r="B163" s="2292" t="s">
        <v>246</v>
      </c>
      <c r="C163" s="881"/>
      <c r="D163" s="2974"/>
      <c r="E163" s="2716"/>
      <c r="F163" s="2895" t="str">
        <f>INDEX(PT_DIFFERENTIATION_VTAR,MATCH(A163,PT_DIFFERENTIATION_VTAR_ID,0))</f>
        <v>Тарифы на услуги по передаче теплоносителя</v>
      </c>
      <c r="G163" s="2939" t="str">
        <f>INDEX(PT_DIFFERENTIATION_NTAR,MATCH(B163,PT_DIFFERENTIATION_NTAR_ID,0))</f>
        <v/>
      </c>
      <c r="H163" s="2374"/>
      <c r="I163" s="2251"/>
      <c r="J163" s="2285"/>
      <c r="K163" s="2290"/>
      <c r="L163" s="2374" t="s">
        <v>445</v>
      </c>
      <c r="M163" s="853"/>
      <c r="N163" s="846"/>
      <c r="O163" s="2136"/>
      <c r="P163" s="2136"/>
      <c r="AH163" s="2143">
        <v>0</v>
      </c>
    </row>
    <row s="50801" customFormat="1" customHeight="1" ht="18.75" hidden="1">
      <c r="A164" s="2292"/>
      <c r="B164" s="2292"/>
      <c r="C164" s="881" t="s">
        <v>1290</v>
      </c>
      <c r="D164" s="2974"/>
      <c r="E164" s="2716"/>
      <c r="F164" s="2895"/>
      <c r="G164" s="2939"/>
      <c r="H164" s="2012"/>
      <c r="I164" s="1163" t="s">
        <v>1289</v>
      </c>
      <c r="J164" s="1083"/>
      <c r="K164" s="2012"/>
      <c r="L164" s="726"/>
      <c r="M164" s="853"/>
      <c r="N164" s="846"/>
      <c r="O164" s="2136"/>
      <c r="P164" s="2136"/>
      <c r="AH164" s="2143">
        <v>0</v>
      </c>
    </row>
    <row s="50801" customFormat="1" customHeight="1" ht="0.75" hidden="1">
      <c r="A165" s="2292"/>
      <c r="B165" s="2292"/>
      <c r="C165" s="881" t="s">
        <v>1297</v>
      </c>
      <c r="D165" s="2974"/>
      <c r="E165" s="2716"/>
      <c r="F165" s="2895"/>
      <c r="G165" s="912"/>
      <c r="H165" s="2012"/>
      <c r="I165" s="1163"/>
      <c r="J165" s="1083"/>
      <c r="K165" s="2012"/>
      <c r="L165" s="726"/>
      <c r="M165" s="853"/>
      <c r="N165" s="846"/>
      <c r="O165" s="2136"/>
      <c r="P165" s="2136"/>
      <c r="AH165" s="2143">
        <v>0</v>
      </c>
    </row>
    <row s="50801" customFormat="1" customHeight="1" ht="18.75" hidden="1">
      <c r="A166" s="2292" t="s">
        <v>251</v>
      </c>
      <c r="B166" s="2292" t="s">
        <v>252</v>
      </c>
      <c r="C166" s="881"/>
      <c r="D166" s="2974"/>
      <c r="E166" s="2716"/>
      <c r="F166" s="28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9" t="str">
        <f>INDEX(PT_DIFFERENTIATION_NTAR,MATCH(B166,PT_DIFFERENTIATION_NTAR_ID,0))</f>
        <v/>
      </c>
      <c r="H166" s="2374"/>
      <c r="I166" s="2251"/>
      <c r="J166" s="2285"/>
      <c r="K166" s="2290"/>
      <c r="L166" s="2374" t="s">
        <v>445</v>
      </c>
      <c r="M166" s="853"/>
      <c r="N166" s="846"/>
      <c r="O166" s="2136"/>
      <c r="P166" s="2136"/>
      <c r="AH166" s="2143">
        <v>0</v>
      </c>
    </row>
    <row s="50801" customFormat="1" customHeight="1" ht="18.75" hidden="1">
      <c r="A167" s="2292"/>
      <c r="B167" s="2292"/>
      <c r="C167" s="881" t="s">
        <v>1290</v>
      </c>
      <c r="D167" s="2974"/>
      <c r="E167" s="2716"/>
      <c r="F167" s="2895"/>
      <c r="G167" s="2939"/>
      <c r="H167" s="2012"/>
      <c r="I167" s="1163" t="s">
        <v>1289</v>
      </c>
      <c r="J167" s="1083"/>
      <c r="K167" s="2012"/>
      <c r="L167" s="726"/>
      <c r="M167" s="853"/>
      <c r="N167" s="846"/>
      <c r="O167" s="2136"/>
      <c r="P167" s="2136"/>
      <c r="AH167" s="2143">
        <v>0</v>
      </c>
    </row>
    <row s="50801" customFormat="1" customHeight="1" ht="0.75" hidden="1">
      <c r="A168" s="2292"/>
      <c r="B168" s="2292"/>
      <c r="C168" s="881" t="s">
        <v>1297</v>
      </c>
      <c r="D168" s="2974"/>
      <c r="E168" s="2716"/>
      <c r="F168" s="2895"/>
      <c r="G168" s="912"/>
      <c r="H168" s="2012"/>
      <c r="I168" s="1163"/>
      <c r="J168" s="1083"/>
      <c r="K168" s="2012"/>
      <c r="L168" s="726"/>
      <c r="M168" s="853"/>
      <c r="N168" s="846"/>
      <c r="O168" s="2136"/>
      <c r="P168" s="2136"/>
      <c r="AH168" s="2143">
        <v>0</v>
      </c>
    </row>
    <row s="50801" customFormat="1" customHeight="1" ht="18.75" hidden="1">
      <c r="A169" s="2292" t="s">
        <v>257</v>
      </c>
      <c r="B169" s="2292" t="s">
        <v>258</v>
      </c>
      <c r="C169" s="881"/>
      <c r="D169" s="2974"/>
      <c r="E169" s="2716"/>
      <c r="F169" s="2895" t="str">
        <f>INDEX(PT_DIFFERENTIATION_VTAR,MATCH(A169,PT_DIFFERENTIATION_VTAR_ID,0))</f>
        <v>Плата за подключение (технологическое присоединение) к системе теплоснабжения</v>
      </c>
      <c r="G169" s="2939" t="str">
        <f>INDEX(PT_DIFFERENTIATION_NTAR,MATCH(B169,PT_DIFFERENTIATION_NTAR_ID,0))</f>
        <v/>
      </c>
      <c r="H169" s="2374"/>
      <c r="I169" s="2251"/>
      <c r="J169" s="2285"/>
      <c r="K169" s="2290"/>
      <c r="L169" s="2374" t="s">
        <v>445</v>
      </c>
      <c r="M169" s="853"/>
      <c r="N169" s="846"/>
      <c r="O169" s="2136"/>
      <c r="P169" s="2136"/>
      <c r="AH169" s="2143">
        <v>0</v>
      </c>
    </row>
    <row s="50801" customFormat="1" customHeight="1" ht="18.75" hidden="1">
      <c r="A170" s="2292"/>
      <c r="B170" s="2292"/>
      <c r="C170" s="881" t="s">
        <v>1290</v>
      </c>
      <c r="D170" s="2974"/>
      <c r="E170" s="2716"/>
      <c r="F170" s="2895"/>
      <c r="G170" s="2939"/>
      <c r="H170" s="2012"/>
      <c r="I170" s="1163" t="s">
        <v>1289</v>
      </c>
      <c r="J170" s="1083"/>
      <c r="K170" s="2012"/>
      <c r="L170" s="726"/>
      <c r="M170" s="853"/>
      <c r="N170" s="846"/>
      <c r="O170" s="2136"/>
      <c r="P170" s="2136"/>
      <c r="AH170" s="2143">
        <v>0</v>
      </c>
    </row>
    <row s="50801" customFormat="1" customHeight="1" ht="0.75" hidden="1">
      <c r="A171" s="2292"/>
      <c r="B171" s="2292"/>
      <c r="C171" s="881" t="s">
        <v>1297</v>
      </c>
      <c r="D171" s="2974"/>
      <c r="E171" s="2716"/>
      <c r="F171" s="2895"/>
      <c r="G171" s="912"/>
      <c r="H171" s="2012"/>
      <c r="I171" s="1163"/>
      <c r="J171" s="1083"/>
      <c r="K171" s="2012"/>
      <c r="L171" s="726"/>
      <c r="M171" s="853"/>
      <c r="N171" s="846"/>
      <c r="O171" s="2136"/>
      <c r="P171" s="2136"/>
      <c r="AH171" s="2143">
        <v>0</v>
      </c>
    </row>
    <row s="50801" customFormat="1" customHeight="1" ht="18.75" hidden="1">
      <c r="A172" s="2292" t="s">
        <v>263</v>
      </c>
      <c r="B172" s="2292" t="s">
        <v>264</v>
      </c>
      <c r="C172" s="881"/>
      <c r="D172" s="2974"/>
      <c r="E172" s="2716"/>
      <c r="F172" s="2895" t="str">
        <f>INDEX(PT_DIFFERENTIATION_VTAR,MATCH(A172,PT_DIFFERENTIATION_VTAR_ID,0))</f>
        <v>Плата за подключение (технологическое присоединение) к системе теплоснабжения (индивидуальная)</v>
      </c>
      <c r="G172" s="2939" t="str">
        <f>INDEX(PT_DIFFERENTIATION_NTAR,MATCH(B172,PT_DIFFERENTIATION_NTAR_ID,0))</f>
        <v/>
      </c>
      <c r="H172" s="2501"/>
      <c r="I172" s="2251"/>
      <c r="J172" s="2285"/>
      <c r="K172" s="2290"/>
      <c r="L172" s="2501" t="s">
        <v>445</v>
      </c>
      <c r="M172" s="853"/>
      <c r="N172" s="846"/>
      <c r="O172" s="2136"/>
      <c r="P172" s="2136"/>
      <c r="AH172" s="2143">
        <v>0</v>
      </c>
    </row>
    <row s="50801" customFormat="1" customHeight="1" ht="18.75" hidden="1">
      <c r="A173" s="2292"/>
      <c r="B173" s="2292"/>
      <c r="C173" s="881" t="s">
        <v>1290</v>
      </c>
      <c r="D173" s="2974"/>
      <c r="E173" s="2716"/>
      <c r="F173" s="2895"/>
      <c r="G173" s="2939"/>
      <c r="H173" s="2012"/>
      <c r="I173" s="1163" t="s">
        <v>1289</v>
      </c>
      <c r="J173" s="1083"/>
      <c r="K173" s="2012"/>
      <c r="L173" s="726"/>
      <c r="M173" s="853"/>
      <c r="N173" s="846"/>
      <c r="O173" s="2136"/>
      <c r="P173" s="2136"/>
      <c r="AH173" s="2143">
        <v>0</v>
      </c>
    </row>
    <row s="50801" customFormat="1" customHeight="1" ht="0.75" hidden="1">
      <c r="A174" s="2292"/>
      <c r="B174" s="2292"/>
      <c r="C174" s="881" t="s">
        <v>1297</v>
      </c>
      <c r="D174" s="2974"/>
      <c r="E174" s="2716"/>
      <c r="F174" s="2895"/>
      <c r="G174" s="912"/>
      <c r="H174" s="2012"/>
      <c r="I174" s="1163"/>
      <c r="J174" s="1083"/>
      <c r="K174" s="2012"/>
      <c r="L174" s="726"/>
      <c r="M174" s="853"/>
      <c r="N174" s="846"/>
      <c r="O174" s="2136"/>
      <c r="P174" s="2136"/>
      <c r="AH174" s="2143">
        <v>0</v>
      </c>
    </row>
    <row s="50801" customFormat="1" customHeight="1" ht="18.75" hidden="1">
      <c r="A175" s="2292" t="s">
        <v>286</v>
      </c>
      <c r="B175" s="2292" t="s">
        <v>287</v>
      </c>
      <c r="C175" s="881"/>
      <c r="D175" s="2974"/>
      <c r="E175" s="2716"/>
      <c r="F175" s="2895" t="str">
        <f>INDEX(PT_DIFFERENTIATION_VTAR,MATCH(A175,PT_DIFFERENTIATION_VTAR_ID,0))</f>
        <v>Тариф на питьевую воду (питьевое водоснабжение)</v>
      </c>
      <c r="G175" s="2939" t="str">
        <f>INDEX(PT_DIFFERENTIATION_NTAR,MATCH(B175,PT_DIFFERENTIATION_NTAR_ID,0))</f>
        <v>Тариф на питьевую воду для потребителей КГУП "Примтеплоэнерго"</v>
      </c>
      <c r="H175" s="2374"/>
      <c r="I175" s="2251"/>
      <c r="J175" s="2285"/>
      <c r="K175" s="2290"/>
      <c r="L175" s="2374" t="s">
        <v>445</v>
      </c>
      <c r="M175" s="853"/>
      <c r="N175" s="846"/>
      <c r="O175" s="2136"/>
      <c r="P175" s="2136"/>
      <c r="AH175" s="2143">
        <v>0</v>
      </c>
    </row>
    <row s="50801" customFormat="1" customHeight="1" ht="18.75" hidden="1">
      <c r="A176" s="2292"/>
      <c r="B176" s="2292"/>
      <c r="C176" s="881" t="s">
        <v>1290</v>
      </c>
      <c r="D176" s="2974"/>
      <c r="E176" s="2716"/>
      <c r="F176" s="2895"/>
      <c r="G176" s="2939"/>
      <c r="H176" s="2012"/>
      <c r="I176" s="1163" t="s">
        <v>1289</v>
      </c>
      <c r="J176" s="1083"/>
      <c r="K176" s="2012"/>
      <c r="L176" s="726"/>
      <c r="M176" s="853"/>
      <c r="N176" s="846"/>
      <c r="O176" s="2136"/>
      <c r="P176" s="2136"/>
      <c r="AH176" s="2143">
        <v>0</v>
      </c>
    </row>
    <row s="50801" customFormat="1" customHeight="1" ht="0.75" hidden="1">
      <c r="A177" s="2292"/>
      <c r="B177" s="2292"/>
      <c r="C177" s="881" t="s">
        <v>1297</v>
      </c>
      <c r="D177" s="2974"/>
      <c r="E177" s="2716"/>
      <c r="F177" s="2895"/>
      <c r="G177" s="912"/>
      <c r="H177" s="2012"/>
      <c r="I177" s="1163"/>
      <c r="J177" s="1083"/>
      <c r="K177" s="2012"/>
      <c r="L177" s="726"/>
      <c r="M177" s="853"/>
      <c r="N177" s="846"/>
      <c r="O177" s="2136"/>
      <c r="P177" s="2136"/>
      <c r="AH177" s="2143">
        <v>0</v>
      </c>
    </row>
    <row s="50801" customFormat="1" customHeight="1" ht="18.75" hidden="1">
      <c r="A178" s="2292" t="s">
        <v>369</v>
      </c>
      <c r="B178" s="2292" t="s">
        <v>370</v>
      </c>
      <c r="C178" s="881"/>
      <c r="D178" s="2974"/>
      <c r="E178" s="2716"/>
      <c r="F178" s="2895" t="str">
        <f>INDEX(PT_DIFFERENTIATION_VTAR,MATCH(A178,PT_DIFFERENTIATION_VTAR_ID,0))</f>
        <v>Тариф на техническую воду</v>
      </c>
      <c r="G178" s="2939" t="str">
        <f>INDEX(PT_DIFFERENTIATION_NTAR,MATCH(B178,PT_DIFFERENTIATION_NTAR_ID,0))</f>
        <v>Тариф на техническую воду</v>
      </c>
      <c r="H178" s="2374"/>
      <c r="I178" s="2251"/>
      <c r="J178" s="2285"/>
      <c r="K178" s="2290"/>
      <c r="L178" s="2374" t="s">
        <v>445</v>
      </c>
      <c r="M178" s="853"/>
      <c r="N178" s="846"/>
      <c r="O178" s="2136"/>
      <c r="P178" s="2136"/>
      <c r="AH178" s="2143">
        <v>0</v>
      </c>
    </row>
    <row s="50801" customFormat="1" customHeight="1" ht="18.75" hidden="1">
      <c r="A179" s="2292"/>
      <c r="B179" s="2292"/>
      <c r="C179" s="881" t="s">
        <v>1290</v>
      </c>
      <c r="D179" s="2974"/>
      <c r="E179" s="2716"/>
      <c r="F179" s="2895"/>
      <c r="G179" s="2939"/>
      <c r="H179" s="2012"/>
      <c r="I179" s="1163" t="s">
        <v>1289</v>
      </c>
      <c r="J179" s="1083"/>
      <c r="K179" s="2012"/>
      <c r="L179" s="726"/>
      <c r="M179" s="853"/>
      <c r="N179" s="846"/>
      <c r="O179" s="2136"/>
      <c r="P179" s="2136"/>
      <c r="AH179" s="2143">
        <v>0</v>
      </c>
    </row>
    <row s="50801" customFormat="1" customHeight="1" ht="0.75" hidden="1">
      <c r="A180" s="2292"/>
      <c r="B180" s="2292"/>
      <c r="C180" s="881" t="s">
        <v>1297</v>
      </c>
      <c r="D180" s="2974"/>
      <c r="E180" s="2716"/>
      <c r="F180" s="2895"/>
      <c r="G180" s="912"/>
      <c r="H180" s="2012"/>
      <c r="I180" s="1163"/>
      <c r="J180" s="1083"/>
      <c r="K180" s="2012"/>
      <c r="L180" s="726"/>
      <c r="M180" s="853"/>
      <c r="N180" s="846"/>
      <c r="O180" s="2136"/>
      <c r="P180" s="2136"/>
      <c r="AH180" s="2143">
        <v>0</v>
      </c>
    </row>
    <row s="50801" customFormat="1" customHeight="1" ht="18.75" hidden="1">
      <c r="A181" s="2292" t="s">
        <v>374</v>
      </c>
      <c r="B181" s="2292" t="s">
        <v>375</v>
      </c>
      <c r="C181" s="881"/>
      <c r="D181" s="2974"/>
      <c r="E181" s="2716"/>
      <c r="F181" s="2895" t="str">
        <f>INDEX(PT_DIFFERENTIATION_VTAR,MATCH(A181,PT_DIFFERENTIATION_VTAR_ID,0))</f>
        <v>Тариф на транспортировку воды</v>
      </c>
      <c r="G181" s="2939" t="str">
        <f>INDEX(PT_DIFFERENTIATION_NTAR,MATCH(B181,PT_DIFFERENTIATION_NTAR_ID,0))</f>
        <v/>
      </c>
      <c r="H181" s="2374"/>
      <c r="I181" s="2251"/>
      <c r="J181" s="2285"/>
      <c r="K181" s="2290"/>
      <c r="L181" s="2374" t="s">
        <v>445</v>
      </c>
      <c r="M181" s="853"/>
      <c r="N181" s="846"/>
      <c r="O181" s="2136"/>
      <c r="P181" s="2136"/>
      <c r="AH181" s="2143">
        <v>0</v>
      </c>
    </row>
    <row s="50801" customFormat="1" customHeight="1" ht="18.75" hidden="1">
      <c r="A182" s="2292"/>
      <c r="B182" s="2292"/>
      <c r="C182" s="881" t="s">
        <v>1290</v>
      </c>
      <c r="D182" s="2974"/>
      <c r="E182" s="2716"/>
      <c r="F182" s="2895"/>
      <c r="G182" s="2939"/>
      <c r="H182" s="2012"/>
      <c r="I182" s="1163" t="s">
        <v>1289</v>
      </c>
      <c r="J182" s="1083"/>
      <c r="K182" s="2012"/>
      <c r="L182" s="726"/>
      <c r="M182" s="853"/>
      <c r="N182" s="846"/>
      <c r="O182" s="2136"/>
      <c r="P182" s="2136"/>
      <c r="AH182" s="2143">
        <v>0</v>
      </c>
    </row>
    <row s="50801" customFormat="1" customHeight="1" ht="0.75" hidden="1">
      <c r="A183" s="2292"/>
      <c r="B183" s="2292"/>
      <c r="C183" s="881" t="s">
        <v>1297</v>
      </c>
      <c r="D183" s="2974"/>
      <c r="E183" s="2716"/>
      <c r="F183" s="2895"/>
      <c r="G183" s="912"/>
      <c r="H183" s="2012"/>
      <c r="I183" s="1163"/>
      <c r="J183" s="1083"/>
      <c r="K183" s="2012"/>
      <c r="L183" s="726"/>
      <c r="M183" s="853"/>
      <c r="N183" s="846"/>
      <c r="O183" s="2136"/>
      <c r="P183" s="2136"/>
      <c r="AH183" s="2143">
        <v>0</v>
      </c>
    </row>
    <row s="50801" customFormat="1" customHeight="1" ht="18.75" hidden="1">
      <c r="A184" s="2292" t="s">
        <v>379</v>
      </c>
      <c r="B184" s="2292" t="s">
        <v>380</v>
      </c>
      <c r="C184" s="881"/>
      <c r="D184" s="2974"/>
      <c r="E184" s="2716"/>
      <c r="F184" s="2895" t="str">
        <f>INDEX(PT_DIFFERENTIATION_VTAR,MATCH(A184,PT_DIFFERENTIATION_VTAR_ID,0))</f>
        <v>Тариф на подвоз воды</v>
      </c>
      <c r="G184" s="2939" t="str">
        <f>INDEX(PT_DIFFERENTIATION_NTAR,MATCH(B184,PT_DIFFERENTIATION_NTAR_ID,0))</f>
        <v/>
      </c>
      <c r="H184" s="2374"/>
      <c r="I184" s="2251"/>
      <c r="J184" s="2285"/>
      <c r="K184" s="2290"/>
      <c r="L184" s="2374" t="s">
        <v>445</v>
      </c>
      <c r="M184" s="853"/>
      <c r="N184" s="846"/>
      <c r="O184" s="2136"/>
      <c r="P184" s="2136"/>
      <c r="AH184" s="2143">
        <v>0</v>
      </c>
    </row>
    <row s="50801" customFormat="1" customHeight="1" ht="18.75" hidden="1">
      <c r="A185" s="2292"/>
      <c r="B185" s="2292"/>
      <c r="C185" s="881" t="s">
        <v>1290</v>
      </c>
      <c r="D185" s="2974"/>
      <c r="E185" s="2716"/>
      <c r="F185" s="2895"/>
      <c r="G185" s="2939"/>
      <c r="H185" s="2012"/>
      <c r="I185" s="1163" t="s">
        <v>1289</v>
      </c>
      <c r="J185" s="1083"/>
      <c r="K185" s="2012"/>
      <c r="L185" s="726"/>
      <c r="M185" s="853"/>
      <c r="N185" s="846"/>
      <c r="O185" s="2136"/>
      <c r="P185" s="2136"/>
      <c r="AH185" s="2143">
        <v>0</v>
      </c>
    </row>
    <row s="50801" customFormat="1" customHeight="1" ht="0.75" hidden="1">
      <c r="A186" s="2292"/>
      <c r="B186" s="2292"/>
      <c r="C186" s="881" t="s">
        <v>1297</v>
      </c>
      <c r="D186" s="2974"/>
      <c r="E186" s="2716"/>
      <c r="F186" s="2895"/>
      <c r="G186" s="912"/>
      <c r="H186" s="2012"/>
      <c r="I186" s="1163"/>
      <c r="J186" s="1083"/>
      <c r="K186" s="2012"/>
      <c r="L186" s="726"/>
      <c r="M186" s="853"/>
      <c r="N186" s="846"/>
      <c r="O186" s="2136"/>
      <c r="P186" s="2136"/>
      <c r="AH186" s="2143">
        <v>0</v>
      </c>
    </row>
    <row s="50801" customFormat="1" customHeight="1" ht="18.75" hidden="1">
      <c r="A187" s="2292" t="s">
        <v>384</v>
      </c>
      <c r="B187" s="2292" t="s">
        <v>385</v>
      </c>
      <c r="C187" s="881"/>
      <c r="D187" s="2974"/>
      <c r="E187" s="2716"/>
      <c r="F187" s="28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9" t="str">
        <f>INDEX(PT_DIFFERENTIATION_NTAR,MATCH(B187,PT_DIFFERENTIATION_NTAR_ID,0))</f>
        <v/>
      </c>
      <c r="H187" s="2374"/>
      <c r="I187" s="2251"/>
      <c r="J187" s="2285"/>
      <c r="K187" s="2290"/>
      <c r="L187" s="2374" t="s">
        <v>445</v>
      </c>
      <c r="M187" s="853"/>
      <c r="N187" s="846"/>
      <c r="O187" s="2136"/>
      <c r="P187" s="2136"/>
      <c r="AH187" s="2143">
        <v>0</v>
      </c>
    </row>
    <row s="50801" customFormat="1" customHeight="1" ht="18.75" hidden="1">
      <c r="A188" s="2292"/>
      <c r="B188" s="2292"/>
      <c r="C188" s="881" t="s">
        <v>1290</v>
      </c>
      <c r="D188" s="2974"/>
      <c r="E188" s="2716"/>
      <c r="F188" s="2895"/>
      <c r="G188" s="2939"/>
      <c r="H188" s="2012"/>
      <c r="I188" s="1163" t="s">
        <v>1289</v>
      </c>
      <c r="J188" s="1083"/>
      <c r="K188" s="2012"/>
      <c r="L188" s="726"/>
      <c r="M188" s="853"/>
      <c r="N188" s="846"/>
      <c r="O188" s="2136"/>
      <c r="P188" s="2136"/>
      <c r="AH188" s="2143">
        <v>0</v>
      </c>
    </row>
    <row s="50801" customFormat="1" customHeight="1" ht="0.75" hidden="1">
      <c r="A189" s="2292"/>
      <c r="B189" s="2292"/>
      <c r="C189" s="881" t="s">
        <v>1297</v>
      </c>
      <c r="D189" s="2974"/>
      <c r="E189" s="2716"/>
      <c r="F189" s="2895"/>
      <c r="G189" s="912"/>
      <c r="H189" s="2012"/>
      <c r="I189" s="1163"/>
      <c r="J189" s="1083"/>
      <c r="K189" s="2012"/>
      <c r="L189" s="726"/>
      <c r="M189" s="853"/>
      <c r="N189" s="846"/>
      <c r="O189" s="2136"/>
      <c r="P189" s="2136"/>
      <c r="AH189" s="2143">
        <v>0</v>
      </c>
    </row>
    <row s="50801" customFormat="1" customHeight="1" ht="18.75" hidden="1">
      <c r="A190" s="2292" t="s">
        <v>389</v>
      </c>
      <c r="B190" s="2292" t="s">
        <v>390</v>
      </c>
      <c r="C190" s="881"/>
      <c r="D190" s="2974"/>
      <c r="E190" s="2716"/>
      <c r="F190" s="2895" t="str">
        <f>INDEX(PT_DIFFERENTIATION_VTAR,MATCH(A190,PT_DIFFERENTIATION_VTAR_ID,0))</f>
        <v>Тариф на горячую воду (горячее водоснабжение)</v>
      </c>
      <c r="G190" s="2939" t="str">
        <f>INDEX(PT_DIFFERENTIATION_NTAR,MATCH(B190,PT_DIFFERENTIATION_NTAR_ID,0))</f>
        <v/>
      </c>
      <c r="H190" s="2374"/>
      <c r="I190" s="2251"/>
      <c r="J190" s="2285"/>
      <c r="K190" s="2290"/>
      <c r="L190" s="2374" t="s">
        <v>445</v>
      </c>
      <c r="M190" s="853"/>
      <c r="N190" s="846"/>
      <c r="O190" s="2136"/>
      <c r="P190" s="2136"/>
      <c r="AH190" s="2143">
        <v>0</v>
      </c>
    </row>
    <row s="50801" customFormat="1" customHeight="1" ht="18.75" hidden="1">
      <c r="A191" s="2292"/>
      <c r="B191" s="2292"/>
      <c r="C191" s="881" t="s">
        <v>1290</v>
      </c>
      <c r="D191" s="2974"/>
      <c r="E191" s="2716"/>
      <c r="F191" s="2895"/>
      <c r="G191" s="2939"/>
      <c r="H191" s="2012"/>
      <c r="I191" s="1163" t="s">
        <v>1289</v>
      </c>
      <c r="J191" s="1083"/>
      <c r="K191" s="2012"/>
      <c r="L191" s="726"/>
      <c r="M191" s="853"/>
      <c r="N191" s="846"/>
      <c r="O191" s="2136"/>
      <c r="P191" s="2136"/>
      <c r="AH191" s="2143">
        <v>0</v>
      </c>
    </row>
    <row s="50801" customFormat="1" customHeight="1" ht="0.75" hidden="1">
      <c r="A192" s="2292"/>
      <c r="B192" s="2292"/>
      <c r="C192" s="881" t="s">
        <v>1297</v>
      </c>
      <c r="D192" s="2974"/>
      <c r="E192" s="2716"/>
      <c r="F192" s="2895"/>
      <c r="G192" s="912"/>
      <c r="H192" s="2012"/>
      <c r="I192" s="1163"/>
      <c r="J192" s="1083"/>
      <c r="K192" s="2012"/>
      <c r="L192" s="726"/>
      <c r="M192" s="853"/>
      <c r="N192" s="846"/>
      <c r="O192" s="2136"/>
      <c r="P192" s="2136"/>
      <c r="AH192" s="2143">
        <v>0</v>
      </c>
    </row>
    <row s="50801" customFormat="1" customHeight="1" ht="18.75" hidden="1">
      <c r="A193" s="2292" t="s">
        <v>394</v>
      </c>
      <c r="B193" s="2292" t="s">
        <v>395</v>
      </c>
      <c r="C193" s="881"/>
      <c r="D193" s="2974"/>
      <c r="E193" s="2716"/>
      <c r="F193" s="2895" t="str">
        <f>INDEX(PT_DIFFERENTIATION_VTAR,MATCH(A193,PT_DIFFERENTIATION_VTAR_ID,0))</f>
        <v>Тариф на транспортировку горячей воды</v>
      </c>
      <c r="G193" s="2939" t="str">
        <f>INDEX(PT_DIFFERENTIATION_NTAR,MATCH(B193,PT_DIFFERENTIATION_NTAR_ID,0))</f>
        <v/>
      </c>
      <c r="H193" s="2374"/>
      <c r="I193" s="2251"/>
      <c r="J193" s="2285"/>
      <c r="K193" s="2290"/>
      <c r="L193" s="2374" t="s">
        <v>445</v>
      </c>
      <c r="M193" s="853"/>
      <c r="N193" s="846"/>
      <c r="O193" s="2136"/>
      <c r="P193" s="2136"/>
      <c r="AH193" s="2143">
        <v>0</v>
      </c>
    </row>
    <row s="50801" customFormat="1" customHeight="1" ht="18.75" hidden="1">
      <c r="A194" s="2292"/>
      <c r="B194" s="2292"/>
      <c r="C194" s="881" t="s">
        <v>1290</v>
      </c>
      <c r="D194" s="2974"/>
      <c r="E194" s="2716"/>
      <c r="F194" s="2895"/>
      <c r="G194" s="2939"/>
      <c r="H194" s="2012"/>
      <c r="I194" s="1163" t="s">
        <v>1289</v>
      </c>
      <c r="J194" s="1083"/>
      <c r="K194" s="2012"/>
      <c r="L194" s="726"/>
      <c r="M194" s="853"/>
      <c r="N194" s="846"/>
      <c r="O194" s="2136"/>
      <c r="P194" s="2136"/>
      <c r="AH194" s="2143">
        <v>0</v>
      </c>
    </row>
    <row s="50801" customFormat="1" customHeight="1" ht="0.75" hidden="1">
      <c r="A195" s="2292"/>
      <c r="B195" s="2292"/>
      <c r="C195" s="881" t="s">
        <v>1297</v>
      </c>
      <c r="D195" s="2974"/>
      <c r="E195" s="2716"/>
      <c r="F195" s="2895"/>
      <c r="G195" s="912"/>
      <c r="H195" s="2012"/>
      <c r="I195" s="1163"/>
      <c r="J195" s="1083"/>
      <c r="K195" s="2012"/>
      <c r="L195" s="726"/>
      <c r="M195" s="853"/>
      <c r="N195" s="846"/>
      <c r="O195" s="2136"/>
      <c r="P195" s="2136"/>
      <c r="AH195" s="2143">
        <v>0</v>
      </c>
    </row>
    <row s="50801" customFormat="1" customHeight="1" ht="18.75" hidden="1">
      <c r="A196" s="2292" t="s">
        <v>399</v>
      </c>
      <c r="B196" s="2292" t="s">
        <v>400</v>
      </c>
      <c r="C196" s="881"/>
      <c r="D196" s="2974"/>
      <c r="E196" s="2716"/>
      <c r="F196" s="28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9" t="str">
        <f>INDEX(PT_DIFFERENTIATION_NTAR,MATCH(B196,PT_DIFFERENTIATION_NTAR_ID,0))</f>
        <v/>
      </c>
      <c r="H196" s="2374"/>
      <c r="I196" s="2251"/>
      <c r="J196" s="2285"/>
      <c r="K196" s="2290"/>
      <c r="L196" s="2374" t="s">
        <v>445</v>
      </c>
      <c r="M196" s="853"/>
      <c r="N196" s="846"/>
      <c r="O196" s="2136"/>
      <c r="P196" s="2136"/>
      <c r="AH196" s="2143">
        <v>0</v>
      </c>
    </row>
    <row s="50801" customFormat="1" customHeight="1" ht="18.75" hidden="1">
      <c r="A197" s="2292"/>
      <c r="B197" s="2292"/>
      <c r="C197" s="881" t="s">
        <v>1290</v>
      </c>
      <c r="D197" s="2974"/>
      <c r="E197" s="2716"/>
      <c r="F197" s="2895"/>
      <c r="G197" s="2939"/>
      <c r="H197" s="2012"/>
      <c r="I197" s="1163" t="s">
        <v>1289</v>
      </c>
      <c r="J197" s="1083"/>
      <c r="K197" s="2012"/>
      <c r="L197" s="726"/>
      <c r="M197" s="853"/>
      <c r="N197" s="846"/>
      <c r="O197" s="2136"/>
      <c r="P197" s="2136"/>
      <c r="AH197" s="2143">
        <v>0</v>
      </c>
    </row>
    <row s="50801" customFormat="1" customHeight="1" ht="0.75" hidden="1">
      <c r="A198" s="2292"/>
      <c r="B198" s="2292"/>
      <c r="C198" s="881" t="s">
        <v>1297</v>
      </c>
      <c r="D198" s="2974"/>
      <c r="E198" s="2716"/>
      <c r="F198" s="2895"/>
      <c r="G198" s="912"/>
      <c r="H198" s="2012"/>
      <c r="I198" s="1163"/>
      <c r="J198" s="1083"/>
      <c r="K198" s="2012"/>
      <c r="L198" s="726"/>
      <c r="M198" s="853"/>
      <c r="N198" s="846"/>
      <c r="O198" s="2136"/>
      <c r="P198" s="2136"/>
      <c r="AH198" s="2143">
        <v>0</v>
      </c>
    </row>
    <row s="50801" customFormat="1" customHeight="1" ht="18.75" hidden="1">
      <c r="A199" s="2292" t="s">
        <v>404</v>
      </c>
      <c r="B199" s="2292" t="s">
        <v>405</v>
      </c>
      <c r="C199" s="881"/>
      <c r="D199" s="2974"/>
      <c r="E199" s="2716"/>
      <c r="F199" s="2895" t="str">
        <f>INDEX(PT_DIFFERENTIATION_VTAR,MATCH(A199,PT_DIFFERENTIATION_VTAR_ID,0))</f>
        <v>Тариф на водоотведение</v>
      </c>
      <c r="G199" s="2939" t="str">
        <f>INDEX(PT_DIFFERENTIATION_NTAR,MATCH(B199,PT_DIFFERENTIATION_NTAR_ID,0))</f>
        <v/>
      </c>
      <c r="H199" s="2374"/>
      <c r="I199" s="2251"/>
      <c r="J199" s="2285"/>
      <c r="K199" s="2290"/>
      <c r="L199" s="2374" t="s">
        <v>445</v>
      </c>
      <c r="M199" s="853"/>
      <c r="N199" s="846"/>
      <c r="O199" s="2136"/>
      <c r="P199" s="2136"/>
      <c r="AH199" s="2143">
        <v>0</v>
      </c>
    </row>
    <row s="50801" customFormat="1" customHeight="1" ht="18.75" hidden="1">
      <c r="A200" s="2292"/>
      <c r="B200" s="2292"/>
      <c r="C200" s="881" t="s">
        <v>1290</v>
      </c>
      <c r="D200" s="2974"/>
      <c r="E200" s="2716"/>
      <c r="F200" s="2895"/>
      <c r="G200" s="2939"/>
      <c r="H200" s="2012"/>
      <c r="I200" s="1163" t="s">
        <v>1289</v>
      </c>
      <c r="J200" s="1083"/>
      <c r="K200" s="2012"/>
      <c r="L200" s="726"/>
      <c r="M200" s="853"/>
      <c r="N200" s="846"/>
      <c r="O200" s="2136"/>
      <c r="P200" s="2136"/>
      <c r="AH200" s="2143">
        <v>0</v>
      </c>
    </row>
    <row s="50801" customFormat="1" customHeight="1" ht="0.75" hidden="1">
      <c r="A201" s="2292"/>
      <c r="B201" s="2292"/>
      <c r="C201" s="881" t="s">
        <v>1297</v>
      </c>
      <c r="D201" s="2974"/>
      <c r="E201" s="2716"/>
      <c r="F201" s="2895"/>
      <c r="G201" s="912"/>
      <c r="H201" s="2012"/>
      <c r="I201" s="1163"/>
      <c r="J201" s="1083"/>
      <c r="K201" s="2012"/>
      <c r="L201" s="726"/>
      <c r="M201" s="853"/>
      <c r="N201" s="846"/>
      <c r="O201" s="2136"/>
      <c r="P201" s="2136"/>
      <c r="AH201" s="2143">
        <v>0</v>
      </c>
    </row>
    <row s="50801" customFormat="1" customHeight="1" ht="18.75" hidden="1">
      <c r="A202" s="2292" t="s">
        <v>409</v>
      </c>
      <c r="B202" s="2292" t="s">
        <v>410</v>
      </c>
      <c r="C202" s="881"/>
      <c r="D202" s="2974"/>
      <c r="E202" s="2716"/>
      <c r="F202" s="2895" t="str">
        <f>INDEX(PT_DIFFERENTIATION_VTAR,MATCH(A202,PT_DIFFERENTIATION_VTAR_ID,0))</f>
        <v>Тариф на транспортировку сточных вод</v>
      </c>
      <c r="G202" s="2939" t="str">
        <f>INDEX(PT_DIFFERENTIATION_NTAR,MATCH(B202,PT_DIFFERENTIATION_NTAR_ID,0))</f>
        <v/>
      </c>
      <c r="H202" s="2374"/>
      <c r="I202" s="2251"/>
      <c r="J202" s="2285"/>
      <c r="K202" s="2290"/>
      <c r="L202" s="2374" t="s">
        <v>445</v>
      </c>
      <c r="M202" s="853"/>
      <c r="N202" s="846"/>
      <c r="O202" s="2136"/>
      <c r="P202" s="2136"/>
      <c r="AH202" s="2143">
        <v>0</v>
      </c>
    </row>
    <row s="50801" customFormat="1" customHeight="1" ht="18.75" hidden="1">
      <c r="A203" s="2292"/>
      <c r="B203" s="2292"/>
      <c r="C203" s="881" t="s">
        <v>1290</v>
      </c>
      <c r="D203" s="2974"/>
      <c r="E203" s="2716"/>
      <c r="F203" s="2895"/>
      <c r="G203" s="2939"/>
      <c r="H203" s="2012"/>
      <c r="I203" s="1163" t="s">
        <v>1289</v>
      </c>
      <c r="J203" s="1083"/>
      <c r="K203" s="2012"/>
      <c r="L203" s="726"/>
      <c r="M203" s="853"/>
      <c r="N203" s="846"/>
      <c r="O203" s="2136"/>
      <c r="P203" s="2136"/>
      <c r="AH203" s="2143">
        <v>0</v>
      </c>
    </row>
    <row s="50801" customFormat="1" customHeight="1" ht="0.75" hidden="1">
      <c r="A204" s="2292"/>
      <c r="B204" s="2292"/>
      <c r="C204" s="881" t="s">
        <v>1297</v>
      </c>
      <c r="D204" s="2974"/>
      <c r="E204" s="2716"/>
      <c r="F204" s="2895"/>
      <c r="G204" s="912"/>
      <c r="H204" s="2012"/>
      <c r="I204" s="1163"/>
      <c r="J204" s="1083"/>
      <c r="K204" s="2012"/>
      <c r="L204" s="726"/>
      <c r="M204" s="853"/>
      <c r="N204" s="846"/>
      <c r="O204" s="2136"/>
      <c r="P204" s="2136"/>
      <c r="AH204" s="2143">
        <v>0</v>
      </c>
    </row>
    <row s="50801" customFormat="1" customHeight="1" ht="18.75" hidden="1">
      <c r="A205" s="2292" t="s">
        <v>414</v>
      </c>
      <c r="B205" s="2292" t="s">
        <v>415</v>
      </c>
      <c r="C205" s="881"/>
      <c r="D205" s="2974"/>
      <c r="E205" s="2716"/>
      <c r="F205" s="2895" t="str">
        <f>INDEX(PT_DIFFERENTIATION_VTAR,MATCH(A205,PT_DIFFERENTIATION_VTAR_ID,0))</f>
        <v>Тариф на подключение (технологическое присоединение) к централизованной системе водоотведения</v>
      </c>
      <c r="G205" s="2939" t="str">
        <f>INDEX(PT_DIFFERENTIATION_NTAR,MATCH(B205,PT_DIFFERENTIATION_NTAR_ID,0))</f>
        <v/>
      </c>
      <c r="H205" s="2374"/>
      <c r="I205" s="2251"/>
      <c r="J205" s="2285"/>
      <c r="K205" s="2290"/>
      <c r="L205" s="2374" t="s">
        <v>445</v>
      </c>
      <c r="M205" s="853"/>
      <c r="N205" s="846"/>
      <c r="O205" s="2136"/>
      <c r="P205" s="2136"/>
      <c r="AH205" s="2143">
        <v>0</v>
      </c>
    </row>
    <row s="50801" customFormat="1" customHeight="1" ht="18.75" hidden="1">
      <c r="A206" s="2292"/>
      <c r="B206" s="2292"/>
      <c r="C206" s="881" t="s">
        <v>1290</v>
      </c>
      <c r="D206" s="2974"/>
      <c r="E206" s="2716"/>
      <c r="F206" s="2895"/>
      <c r="G206" s="2939"/>
      <c r="H206" s="2012"/>
      <c r="I206" s="1163" t="s">
        <v>1289</v>
      </c>
      <c r="J206" s="1083"/>
      <c r="K206" s="2012"/>
      <c r="L206" s="726"/>
      <c r="M206" s="853"/>
      <c r="N206" s="846"/>
      <c r="O206" s="2136"/>
      <c r="P206" s="2136"/>
      <c r="AH206" s="2143">
        <v>0</v>
      </c>
    </row>
    <row s="50801" customFormat="1" customHeight="1" ht="1.05">
      <c r="A207" s="2292"/>
      <c r="B207" s="2292"/>
      <c r="C207" s="881" t="s">
        <v>1297</v>
      </c>
      <c r="D207" s="2974"/>
      <c r="E207" s="2716"/>
      <c r="F207" s="2895"/>
      <c r="G207" s="912"/>
      <c r="H207" s="2012"/>
      <c r="I207" s="1163"/>
      <c r="J207" s="1083"/>
      <c r="K207" s="2012"/>
      <c r="L207" s="726"/>
      <c r="M207" s="853"/>
      <c r="N207" s="846"/>
      <c r="O207" s="2136"/>
      <c r="P207" s="2136"/>
      <c r="AH207" s="2143">
        <v>1</v>
      </c>
    </row>
    <row customHeight="1" ht="27.299999999999997">
      <c r="A208" s="2292"/>
      <c r="B208" s="2292"/>
      <c r="D208" s="888"/>
      <c r="E208" s="659" t="s">
        <v>121</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72"/>
      <c r="H208" s="2972"/>
      <c r="I208" s="2972"/>
      <c r="J208" s="2972"/>
      <c r="K208" s="2972"/>
      <c r="L208" s="2972"/>
      <c r="M208" s="809"/>
      <c r="N208" s="846"/>
      <c r="AH208" s="886">
        <v>26</v>
      </c>
    </row>
    <row s="50801" customFormat="1" customHeight="1" ht="60.75" hidden="1">
      <c r="A209" s="2292" t="s">
        <v>215</v>
      </c>
      <c r="B209" s="2292" t="s">
        <v>216</v>
      </c>
      <c r="C209" s="881"/>
      <c r="D209" s="2974"/>
      <c r="E209" s="2716"/>
      <c r="F209" s="28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9" t="str">
        <f>INDEX(PT_DIFFERENTIATION_NTAR,MATCH(B209,PT_DIFFERENTIATION_NTAR_ID,0))</f>
        <v/>
      </c>
      <c r="H209" s="2374"/>
      <c r="I209" s="2251"/>
      <c r="J209" s="2285"/>
      <c r="K209" s="2290"/>
      <c r="L209" s="2374" t="s">
        <v>445</v>
      </c>
      <c r="M209"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846"/>
      <c r="O209" s="2136"/>
      <c r="P209" s="2136"/>
      <c r="AH209" s="2143">
        <v>0</v>
      </c>
    </row>
    <row s="50801" customFormat="1" customHeight="1" ht="18.75" hidden="1">
      <c r="A210" s="2292"/>
      <c r="B210" s="2292"/>
      <c r="C210" s="881" t="s">
        <v>1290</v>
      </c>
      <c r="D210" s="2974"/>
      <c r="E210" s="2716"/>
      <c r="F210" s="2895"/>
      <c r="G210" s="2939"/>
      <c r="H210" s="2012"/>
      <c r="I210" s="1163" t="s">
        <v>1289</v>
      </c>
      <c r="J210" s="1083"/>
      <c r="K210" s="2012"/>
      <c r="L210" s="726"/>
      <c r="M210" s="2682"/>
      <c r="N210" s="846"/>
      <c r="O210" s="2136"/>
      <c r="P210" s="2136"/>
      <c r="AH210" s="2143">
        <v>0</v>
      </c>
    </row>
    <row s="50801" customFormat="1" customHeight="1" ht="0.75" hidden="1">
      <c r="A211" s="2292"/>
      <c r="B211" s="2292"/>
      <c r="C211" s="881" t="s">
        <v>1297</v>
      </c>
      <c r="D211" s="2974"/>
      <c r="E211" s="2716"/>
      <c r="F211" s="2895"/>
      <c r="G211" s="912"/>
      <c r="H211" s="2012"/>
      <c r="I211" s="1163"/>
      <c r="J211" s="1083"/>
      <c r="K211" s="2012"/>
      <c r="L211" s="726"/>
      <c r="M211" s="2682"/>
      <c r="N211" s="846"/>
      <c r="O211" s="2136"/>
      <c r="P211" s="2136"/>
      <c r="AH211" s="2143">
        <v>0</v>
      </c>
    </row>
    <row s="50801" customFormat="1" customHeight="1" ht="45" hidden="1">
      <c r="A212" s="2292" t="s">
        <v>220</v>
      </c>
      <c r="B212" s="2292" t="s">
        <v>221</v>
      </c>
      <c r="C212" s="881"/>
      <c r="D212" s="2974"/>
      <c r="E212" s="2716"/>
      <c r="F212" s="2895" t="str">
        <f>INDEX(PT_DIFFERENTIATION_VTAR,MATCH(A212,PT_DIFFERENTIATION_VTAR_ID,0))</f>
        <v/>
      </c>
      <c r="G212" s="2939" t="str">
        <f>INDEX(PT_DIFFERENTIATION_NTAR,MATCH(B212,PT_DIFFERENTIATION_NTAR_ID,0))</f>
        <v/>
      </c>
      <c r="H212" s="2374"/>
      <c r="I212" s="2251"/>
      <c r="J212" s="2285"/>
      <c r="K212" s="2290"/>
      <c r="L212" s="2374" t="s">
        <v>445</v>
      </c>
      <c r="M212" s="2683"/>
      <c r="N212" s="846"/>
      <c r="O212" s="2136"/>
      <c r="P212" s="2136"/>
      <c r="AH212" s="2143">
        <v>0</v>
      </c>
    </row>
    <row s="50801" customFormat="1" customHeight="1" ht="18.75" hidden="1">
      <c r="A213" s="2292"/>
      <c r="B213" s="2292"/>
      <c r="C213" s="881" t="s">
        <v>1290</v>
      </c>
      <c r="D213" s="2974"/>
      <c r="E213" s="2716"/>
      <c r="F213" s="2895"/>
      <c r="G213" s="2939"/>
      <c r="H213" s="2012"/>
      <c r="I213" s="1163" t="s">
        <v>1289</v>
      </c>
      <c r="J213" s="1083"/>
      <c r="K213" s="2012"/>
      <c r="L213" s="726"/>
      <c r="M213" s="2373"/>
      <c r="N213" s="846"/>
      <c r="O213" s="2136"/>
      <c r="P213" s="2136"/>
      <c r="AH213" s="2143">
        <v>0</v>
      </c>
    </row>
    <row s="50801" customFormat="1" customHeight="1" ht="0.75" hidden="1">
      <c r="A214" s="2292"/>
      <c r="B214" s="2292"/>
      <c r="C214" s="881" t="s">
        <v>1297</v>
      </c>
      <c r="D214" s="2974"/>
      <c r="E214" s="2716"/>
      <c r="F214" s="2895"/>
      <c r="G214" s="912"/>
      <c r="H214" s="2012"/>
      <c r="I214" s="1163"/>
      <c r="J214" s="1083"/>
      <c r="K214" s="2012"/>
      <c r="L214" s="726"/>
      <c r="M214" s="853"/>
      <c r="N214" s="846"/>
      <c r="O214" s="2136"/>
      <c r="P214" s="2136"/>
      <c r="AH214" s="2143">
        <v>0</v>
      </c>
    </row>
    <row s="50801" customFormat="1" customHeight="1" ht="45" hidden="1">
      <c r="A215" s="2292" t="s">
        <v>227</v>
      </c>
      <c r="B215" s="2292" t="s">
        <v>228</v>
      </c>
      <c r="C215" s="881"/>
      <c r="D215" s="2974"/>
      <c r="E215" s="2716"/>
      <c r="F215" s="28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9" t="str">
        <f>INDEX(PT_DIFFERENTIATION_NTAR,MATCH(B215,PT_DIFFERENTIATION_NTAR_ID,0))</f>
        <v/>
      </c>
      <c r="H215" s="2374"/>
      <c r="I215" s="2251"/>
      <c r="J215" s="2285"/>
      <c r="K215" s="2290"/>
      <c r="L215" s="2374" t="s">
        <v>445</v>
      </c>
      <c r="M215" s="853"/>
      <c r="N215" s="846"/>
      <c r="O215" s="2136"/>
      <c r="P215" s="2136"/>
      <c r="AH215" s="2143">
        <v>0</v>
      </c>
    </row>
    <row s="50801" customFormat="1" customHeight="1" ht="18.75" hidden="1">
      <c r="A216" s="2292"/>
      <c r="B216" s="2292"/>
      <c r="C216" s="881" t="s">
        <v>1290</v>
      </c>
      <c r="D216" s="2974"/>
      <c r="E216" s="2716"/>
      <c r="F216" s="2895"/>
      <c r="G216" s="2939"/>
      <c r="H216" s="2012"/>
      <c r="I216" s="1163" t="s">
        <v>1289</v>
      </c>
      <c r="J216" s="1083"/>
      <c r="K216" s="2012"/>
      <c r="L216" s="726"/>
      <c r="M216" s="853"/>
      <c r="N216" s="846"/>
      <c r="O216" s="2136"/>
      <c r="P216" s="2136"/>
      <c r="AH216" s="2143">
        <v>0</v>
      </c>
    </row>
    <row s="50801" customFormat="1" customHeight="1" ht="0.75" hidden="1">
      <c r="A217" s="2292"/>
      <c r="B217" s="2292"/>
      <c r="C217" s="881" t="s">
        <v>1297</v>
      </c>
      <c r="D217" s="2974"/>
      <c r="E217" s="2716"/>
      <c r="F217" s="2895"/>
      <c r="G217" s="912"/>
      <c r="H217" s="2012"/>
      <c r="I217" s="1163"/>
      <c r="J217" s="1083"/>
      <c r="K217" s="2012"/>
      <c r="L217" s="726"/>
      <c r="M217" s="853"/>
      <c r="N217" s="846"/>
      <c r="O217" s="2136"/>
      <c r="P217" s="2136"/>
      <c r="AH217" s="2143">
        <v>0</v>
      </c>
    </row>
    <row s="50801" customFormat="1" customHeight="1" ht="45" hidden="1">
      <c r="A218" s="2292" t="s">
        <v>233</v>
      </c>
      <c r="B218" s="2292" t="s">
        <v>234</v>
      </c>
      <c r="C218" s="881"/>
      <c r="D218" s="2974"/>
      <c r="E218" s="2716"/>
      <c r="F218" s="28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9" t="str">
        <f>INDEX(PT_DIFFERENTIATION_NTAR,MATCH(B218,PT_DIFFERENTIATION_NTAR_ID,0))</f>
        <v/>
      </c>
      <c r="H218" s="2374"/>
      <c r="I218" s="2251"/>
      <c r="J218" s="2285"/>
      <c r="K218" s="2290"/>
      <c r="L218" s="2374" t="s">
        <v>445</v>
      </c>
      <c r="M218" s="853"/>
      <c r="N218" s="846"/>
      <c r="O218" s="2136"/>
      <c r="P218" s="2136"/>
      <c r="AH218" s="2143">
        <v>0</v>
      </c>
    </row>
    <row s="50801" customFormat="1" customHeight="1" ht="18.75" hidden="1">
      <c r="A219" s="2292"/>
      <c r="B219" s="2292"/>
      <c r="C219" s="881" t="s">
        <v>1290</v>
      </c>
      <c r="D219" s="2974"/>
      <c r="E219" s="2716"/>
      <c r="F219" s="2895"/>
      <c r="G219" s="2939"/>
      <c r="H219" s="2012"/>
      <c r="I219" s="1163" t="s">
        <v>1289</v>
      </c>
      <c r="J219" s="1083"/>
      <c r="K219" s="2012"/>
      <c r="L219" s="726"/>
      <c r="M219" s="853"/>
      <c r="N219" s="846"/>
      <c r="O219" s="2136"/>
      <c r="P219" s="2136"/>
      <c r="AH219" s="2143">
        <v>0</v>
      </c>
    </row>
    <row s="50801" customFormat="1" customHeight="1" ht="0.75" hidden="1">
      <c r="A220" s="2292"/>
      <c r="B220" s="2292"/>
      <c r="C220" s="881" t="s">
        <v>1297</v>
      </c>
      <c r="D220" s="2974"/>
      <c r="E220" s="2716"/>
      <c r="F220" s="2895"/>
      <c r="G220" s="912"/>
      <c r="H220" s="2012"/>
      <c r="I220" s="1163"/>
      <c r="J220" s="1083"/>
      <c r="K220" s="2012"/>
      <c r="L220" s="726"/>
      <c r="M220" s="853"/>
      <c r="N220" s="846"/>
      <c r="O220" s="2136"/>
      <c r="P220" s="2136"/>
      <c r="AH220" s="2143">
        <v>0</v>
      </c>
    </row>
    <row s="50801" customFormat="1" customHeight="1" ht="18.75" hidden="1">
      <c r="A221" s="2292" t="s">
        <v>239</v>
      </c>
      <c r="B221" s="2292" t="s">
        <v>240</v>
      </c>
      <c r="C221" s="881"/>
      <c r="D221" s="2974"/>
      <c r="E221" s="2716"/>
      <c r="F221" s="2895" t="str">
        <f>INDEX(PT_DIFFERENTIATION_VTAR,MATCH(A221,PT_DIFFERENTIATION_VTAR_ID,0))</f>
        <v>Тарифы на услуги по передаче тепловой энергии</v>
      </c>
      <c r="G221" s="2939" t="str">
        <f>INDEX(PT_DIFFERENTIATION_NTAR,MATCH(B221,PT_DIFFERENTIATION_NTAR_ID,0))</f>
        <v/>
      </c>
      <c r="H221" s="2374"/>
      <c r="I221" s="2251"/>
      <c r="J221" s="2285"/>
      <c r="K221" s="2290"/>
      <c r="L221" s="2374" t="s">
        <v>445</v>
      </c>
      <c r="M221" s="853"/>
      <c r="N221" s="846"/>
      <c r="O221" s="2136"/>
      <c r="P221" s="2136"/>
      <c r="AH221" s="2143">
        <v>0</v>
      </c>
    </row>
    <row s="50801" customFormat="1" customHeight="1" ht="18.75" hidden="1">
      <c r="A222" s="2292"/>
      <c r="B222" s="2292"/>
      <c r="C222" s="881" t="s">
        <v>1290</v>
      </c>
      <c r="D222" s="2974"/>
      <c r="E222" s="2716"/>
      <c r="F222" s="2895"/>
      <c r="G222" s="2939"/>
      <c r="H222" s="2012"/>
      <c r="I222" s="1163" t="s">
        <v>1289</v>
      </c>
      <c r="J222" s="1083"/>
      <c r="K222" s="2012"/>
      <c r="L222" s="726"/>
      <c r="M222" s="853"/>
      <c r="N222" s="846"/>
      <c r="O222" s="2136"/>
      <c r="P222" s="2136"/>
      <c r="AH222" s="2143">
        <v>0</v>
      </c>
    </row>
    <row s="50801" customFormat="1" customHeight="1" ht="0.75" hidden="1">
      <c r="A223" s="2292"/>
      <c r="B223" s="2292"/>
      <c r="C223" s="881" t="s">
        <v>1297</v>
      </c>
      <c r="D223" s="2974"/>
      <c r="E223" s="2716"/>
      <c r="F223" s="2895"/>
      <c r="G223" s="912"/>
      <c r="H223" s="2012"/>
      <c r="I223" s="1163"/>
      <c r="J223" s="1083"/>
      <c r="K223" s="2012"/>
      <c r="L223" s="726"/>
      <c r="M223" s="853"/>
      <c r="N223" s="846"/>
      <c r="O223" s="2136"/>
      <c r="P223" s="2136"/>
      <c r="AH223" s="2143">
        <v>0</v>
      </c>
    </row>
    <row s="50801" customFormat="1" customHeight="1" ht="18.75" hidden="1">
      <c r="A224" s="2292" t="s">
        <v>245</v>
      </c>
      <c r="B224" s="2292" t="s">
        <v>246</v>
      </c>
      <c r="C224" s="881"/>
      <c r="D224" s="2974"/>
      <c r="E224" s="2716"/>
      <c r="F224" s="2895" t="str">
        <f>INDEX(PT_DIFFERENTIATION_VTAR,MATCH(A224,PT_DIFFERENTIATION_VTAR_ID,0))</f>
        <v>Тарифы на услуги по передаче теплоносителя</v>
      </c>
      <c r="G224" s="2939" t="str">
        <f>INDEX(PT_DIFFERENTIATION_NTAR,MATCH(B224,PT_DIFFERENTIATION_NTAR_ID,0))</f>
        <v/>
      </c>
      <c r="H224" s="2374"/>
      <c r="I224" s="2251"/>
      <c r="J224" s="2285"/>
      <c r="K224" s="2290"/>
      <c r="L224" s="2374" t="s">
        <v>445</v>
      </c>
      <c r="M224" s="853"/>
      <c r="N224" s="846"/>
      <c r="O224" s="2136"/>
      <c r="P224" s="2136"/>
      <c r="AH224" s="2143">
        <v>0</v>
      </c>
    </row>
    <row s="50801" customFormat="1" customHeight="1" ht="18.75" hidden="1">
      <c r="A225" s="2292"/>
      <c r="B225" s="2292"/>
      <c r="C225" s="881" t="s">
        <v>1290</v>
      </c>
      <c r="D225" s="2974"/>
      <c r="E225" s="2716"/>
      <c r="F225" s="2895"/>
      <c r="G225" s="2939"/>
      <c r="H225" s="2012"/>
      <c r="I225" s="1163" t="s">
        <v>1289</v>
      </c>
      <c r="J225" s="1083"/>
      <c r="K225" s="2012"/>
      <c r="L225" s="726"/>
      <c r="M225" s="853"/>
      <c r="N225" s="846"/>
      <c r="O225" s="2136"/>
      <c r="P225" s="2136"/>
      <c r="AH225" s="2143">
        <v>0</v>
      </c>
    </row>
    <row s="50801" customFormat="1" customHeight="1" ht="0.75" hidden="1">
      <c r="A226" s="2292"/>
      <c r="B226" s="2292"/>
      <c r="C226" s="881" t="s">
        <v>1297</v>
      </c>
      <c r="D226" s="2974"/>
      <c r="E226" s="2716"/>
      <c r="F226" s="2895"/>
      <c r="G226" s="912"/>
      <c r="H226" s="2012"/>
      <c r="I226" s="1163"/>
      <c r="J226" s="1083"/>
      <c r="K226" s="2012"/>
      <c r="L226" s="726"/>
      <c r="M226" s="853"/>
      <c r="N226" s="846"/>
      <c r="O226" s="2136"/>
      <c r="P226" s="2136"/>
      <c r="AH226" s="2143">
        <v>0</v>
      </c>
    </row>
    <row s="50801" customFormat="1" customHeight="1" ht="18.75" hidden="1">
      <c r="A227" s="2292" t="s">
        <v>251</v>
      </c>
      <c r="B227" s="2292" t="s">
        <v>252</v>
      </c>
      <c r="C227" s="881"/>
      <c r="D227" s="2974"/>
      <c r="E227" s="2716"/>
      <c r="F227" s="28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9" t="str">
        <f>INDEX(PT_DIFFERENTIATION_NTAR,MATCH(B227,PT_DIFFERENTIATION_NTAR_ID,0))</f>
        <v/>
      </c>
      <c r="H227" s="2374"/>
      <c r="I227" s="2251"/>
      <c r="J227" s="2285"/>
      <c r="K227" s="2290"/>
      <c r="L227" s="2374" t="s">
        <v>445</v>
      </c>
      <c r="M227" s="853"/>
      <c r="N227" s="846"/>
      <c r="O227" s="2136"/>
      <c r="P227" s="2136"/>
      <c r="AH227" s="2143">
        <v>0</v>
      </c>
    </row>
    <row s="50801" customFormat="1" customHeight="1" ht="18.75" hidden="1">
      <c r="A228" s="2292"/>
      <c r="B228" s="2292"/>
      <c r="C228" s="881" t="s">
        <v>1290</v>
      </c>
      <c r="D228" s="2974"/>
      <c r="E228" s="2716"/>
      <c r="F228" s="2895"/>
      <c r="G228" s="2939"/>
      <c r="H228" s="2012"/>
      <c r="I228" s="1163" t="s">
        <v>1289</v>
      </c>
      <c r="J228" s="1083"/>
      <c r="K228" s="2012"/>
      <c r="L228" s="726"/>
      <c r="M228" s="853"/>
      <c r="N228" s="846"/>
      <c r="O228" s="2136"/>
      <c r="P228" s="2136"/>
      <c r="AH228" s="2143">
        <v>0</v>
      </c>
    </row>
    <row s="50801" customFormat="1" customHeight="1" ht="0.75" hidden="1">
      <c r="A229" s="2292"/>
      <c r="B229" s="2292"/>
      <c r="C229" s="881" t="s">
        <v>1297</v>
      </c>
      <c r="D229" s="2974"/>
      <c r="E229" s="2716"/>
      <c r="F229" s="2895"/>
      <c r="G229" s="912"/>
      <c r="H229" s="2012"/>
      <c r="I229" s="1163"/>
      <c r="J229" s="1083"/>
      <c r="K229" s="2012"/>
      <c r="L229" s="726"/>
      <c r="M229" s="853"/>
      <c r="N229" s="846"/>
      <c r="O229" s="2136"/>
      <c r="P229" s="2136"/>
      <c r="AH229" s="2143">
        <v>0</v>
      </c>
    </row>
    <row s="50801" customFormat="1" customHeight="1" ht="18.75" hidden="1">
      <c r="A230" s="2292" t="s">
        <v>257</v>
      </c>
      <c r="B230" s="2292" t="s">
        <v>258</v>
      </c>
      <c r="C230" s="881"/>
      <c r="D230" s="2974"/>
      <c r="E230" s="2716"/>
      <c r="F230" s="2895" t="str">
        <f>INDEX(PT_DIFFERENTIATION_VTAR,MATCH(A230,PT_DIFFERENTIATION_VTAR_ID,0))</f>
        <v>Плата за подключение (технологическое присоединение) к системе теплоснабжения</v>
      </c>
      <c r="G230" s="2939" t="str">
        <f>INDEX(PT_DIFFERENTIATION_NTAR,MATCH(B230,PT_DIFFERENTIATION_NTAR_ID,0))</f>
        <v/>
      </c>
      <c r="H230" s="2374"/>
      <c r="I230" s="2251"/>
      <c r="J230" s="2285"/>
      <c r="K230" s="2290"/>
      <c r="L230" s="2374" t="s">
        <v>445</v>
      </c>
      <c r="M230" s="853"/>
      <c r="N230" s="846"/>
      <c r="O230" s="2136"/>
      <c r="P230" s="2136"/>
      <c r="AH230" s="2143">
        <v>0</v>
      </c>
    </row>
    <row s="50801" customFormat="1" customHeight="1" ht="18.75" hidden="1">
      <c r="A231" s="2292"/>
      <c r="B231" s="2292"/>
      <c r="C231" s="881" t="s">
        <v>1290</v>
      </c>
      <c r="D231" s="2974"/>
      <c r="E231" s="2716"/>
      <c r="F231" s="2895"/>
      <c r="G231" s="2939"/>
      <c r="H231" s="2012"/>
      <c r="I231" s="1163" t="s">
        <v>1289</v>
      </c>
      <c r="J231" s="1083"/>
      <c r="K231" s="2012"/>
      <c r="L231" s="726"/>
      <c r="M231" s="853"/>
      <c r="N231" s="846"/>
      <c r="O231" s="2136"/>
      <c r="P231" s="2136"/>
      <c r="AH231" s="2143">
        <v>0</v>
      </c>
    </row>
    <row s="50801" customFormat="1" customHeight="1" ht="0.75" hidden="1">
      <c r="A232" s="2292"/>
      <c r="B232" s="2292"/>
      <c r="C232" s="881" t="s">
        <v>1297</v>
      </c>
      <c r="D232" s="2974"/>
      <c r="E232" s="2716"/>
      <c r="F232" s="2895"/>
      <c r="G232" s="912"/>
      <c r="H232" s="2012"/>
      <c r="I232" s="1163"/>
      <c r="J232" s="1083"/>
      <c r="K232" s="2012"/>
      <c r="L232" s="726"/>
      <c r="M232" s="853"/>
      <c r="N232" s="846"/>
      <c r="O232" s="2136"/>
      <c r="P232" s="2136"/>
      <c r="AH232" s="2143">
        <v>0</v>
      </c>
    </row>
    <row s="50801" customFormat="1" customHeight="1" ht="18.75" hidden="1">
      <c r="A233" s="2292" t="s">
        <v>263</v>
      </c>
      <c r="B233" s="2292" t="s">
        <v>264</v>
      </c>
      <c r="C233" s="881"/>
      <c r="D233" s="2974"/>
      <c r="E233" s="2716"/>
      <c r="F233" s="2895" t="str">
        <f>INDEX(PT_DIFFERENTIATION_VTAR,MATCH(A233,PT_DIFFERENTIATION_VTAR_ID,0))</f>
        <v>Плата за подключение (технологическое присоединение) к системе теплоснабжения (индивидуальная)</v>
      </c>
      <c r="G233" s="2939" t="str">
        <f>INDEX(PT_DIFFERENTIATION_NTAR,MATCH(B233,PT_DIFFERENTIATION_NTAR_ID,0))</f>
        <v/>
      </c>
      <c r="H233" s="2501"/>
      <c r="I233" s="2251"/>
      <c r="J233" s="2285"/>
      <c r="K233" s="2290"/>
      <c r="L233" s="2501" t="s">
        <v>445</v>
      </c>
      <c r="M233" s="853"/>
      <c r="N233" s="846"/>
      <c r="O233" s="2136"/>
      <c r="P233" s="2136"/>
      <c r="AH233" s="2143">
        <v>0</v>
      </c>
    </row>
    <row s="50801" customFormat="1" customHeight="1" ht="18.75" hidden="1">
      <c r="A234" s="2292"/>
      <c r="B234" s="2292"/>
      <c r="C234" s="881" t="s">
        <v>1290</v>
      </c>
      <c r="D234" s="2974"/>
      <c r="E234" s="2716"/>
      <c r="F234" s="2895"/>
      <c r="G234" s="2939"/>
      <c r="H234" s="2012"/>
      <c r="I234" s="1163" t="s">
        <v>1289</v>
      </c>
      <c r="J234" s="1083"/>
      <c r="K234" s="2012"/>
      <c r="L234" s="726"/>
      <c r="M234" s="853"/>
      <c r="N234" s="846"/>
      <c r="O234" s="2136"/>
      <c r="P234" s="2136"/>
      <c r="AH234" s="2143">
        <v>0</v>
      </c>
    </row>
    <row s="50801" customFormat="1" customHeight="1" ht="0.75" hidden="1">
      <c r="A235" s="2292"/>
      <c r="B235" s="2292"/>
      <c r="C235" s="881" t="s">
        <v>1297</v>
      </c>
      <c r="D235" s="2974"/>
      <c r="E235" s="2716"/>
      <c r="F235" s="2895"/>
      <c r="G235" s="912"/>
      <c r="H235" s="2012"/>
      <c r="I235" s="1163"/>
      <c r="J235" s="1083"/>
      <c r="K235" s="2012"/>
      <c r="L235" s="726"/>
      <c r="M235" s="853"/>
      <c r="N235" s="846"/>
      <c r="O235" s="2136"/>
      <c r="P235" s="2136"/>
      <c r="AH235" s="2143">
        <v>0</v>
      </c>
    </row>
    <row s="50801" customFormat="1" customHeight="1" ht="18.75" hidden="1">
      <c r="A236" s="2292" t="s">
        <v>286</v>
      </c>
      <c r="B236" s="2292" t="s">
        <v>287</v>
      </c>
      <c r="C236" s="881"/>
      <c r="D236" s="2974"/>
      <c r="E236" s="2716"/>
      <c r="F236" s="2895" t="str">
        <f>INDEX(PT_DIFFERENTIATION_VTAR,MATCH(A236,PT_DIFFERENTIATION_VTAR_ID,0))</f>
        <v>Тариф на питьевую воду (питьевое водоснабжение)</v>
      </c>
      <c r="G236" s="2939" t="str">
        <f>INDEX(PT_DIFFERENTIATION_NTAR,MATCH(B236,PT_DIFFERENTIATION_NTAR_ID,0))</f>
        <v>Тариф на питьевую воду для потребителей КГУП "Примтеплоэнерго"</v>
      </c>
      <c r="H236" s="2374"/>
      <c r="I236" s="2251"/>
      <c r="J236" s="2285"/>
      <c r="K236" s="2290"/>
      <c r="L236" s="2374" t="s">
        <v>445</v>
      </c>
      <c r="M236" s="853"/>
      <c r="N236" s="846"/>
      <c r="O236" s="2136"/>
      <c r="P236" s="2136"/>
      <c r="AH236" s="2143">
        <v>0</v>
      </c>
    </row>
    <row s="50801" customFormat="1" customHeight="1" ht="18.75" hidden="1">
      <c r="A237" s="2292"/>
      <c r="B237" s="2292"/>
      <c r="C237" s="881" t="s">
        <v>1290</v>
      </c>
      <c r="D237" s="2974"/>
      <c r="E237" s="2716"/>
      <c r="F237" s="2895"/>
      <c r="G237" s="2939"/>
      <c r="H237" s="2012"/>
      <c r="I237" s="1163" t="s">
        <v>1289</v>
      </c>
      <c r="J237" s="1083"/>
      <c r="K237" s="2012"/>
      <c r="L237" s="726"/>
      <c r="M237" s="853"/>
      <c r="N237" s="846"/>
      <c r="O237" s="2136"/>
      <c r="P237" s="2136"/>
      <c r="AH237" s="2143">
        <v>0</v>
      </c>
    </row>
    <row s="50801" customFormat="1" customHeight="1" ht="0.75" hidden="1">
      <c r="A238" s="2292"/>
      <c r="B238" s="2292"/>
      <c r="C238" s="881" t="s">
        <v>1297</v>
      </c>
      <c r="D238" s="2974"/>
      <c r="E238" s="2716"/>
      <c r="F238" s="2895"/>
      <c r="G238" s="912"/>
      <c r="H238" s="2012"/>
      <c r="I238" s="1163"/>
      <c r="J238" s="1083"/>
      <c r="K238" s="2012"/>
      <c r="L238" s="726"/>
      <c r="M238" s="853"/>
      <c r="N238" s="846"/>
      <c r="O238" s="2136"/>
      <c r="P238" s="2136"/>
      <c r="AH238" s="2143">
        <v>0</v>
      </c>
    </row>
    <row s="50801" customFormat="1" customHeight="1" ht="18.75" hidden="1">
      <c r="A239" s="2292" t="s">
        <v>369</v>
      </c>
      <c r="B239" s="2292" t="s">
        <v>370</v>
      </c>
      <c r="C239" s="881"/>
      <c r="D239" s="2974"/>
      <c r="E239" s="2716"/>
      <c r="F239" s="2895" t="str">
        <f>INDEX(PT_DIFFERENTIATION_VTAR,MATCH(A239,PT_DIFFERENTIATION_VTAR_ID,0))</f>
        <v>Тариф на техническую воду</v>
      </c>
      <c r="G239" s="2939" t="str">
        <f>INDEX(PT_DIFFERENTIATION_NTAR,MATCH(B239,PT_DIFFERENTIATION_NTAR_ID,0))</f>
        <v>Тариф на техническую воду</v>
      </c>
      <c r="H239" s="2374"/>
      <c r="I239" s="2251"/>
      <c r="J239" s="2285"/>
      <c r="K239" s="2290"/>
      <c r="L239" s="2374" t="s">
        <v>445</v>
      </c>
      <c r="M239" s="853"/>
      <c r="N239" s="846"/>
      <c r="O239" s="2136"/>
      <c r="P239" s="2136"/>
      <c r="AH239" s="2143">
        <v>0</v>
      </c>
    </row>
    <row s="50801" customFormat="1" customHeight="1" ht="18.75" hidden="1">
      <c r="A240" s="2292"/>
      <c r="B240" s="2292"/>
      <c r="C240" s="881" t="s">
        <v>1290</v>
      </c>
      <c r="D240" s="2974"/>
      <c r="E240" s="2716"/>
      <c r="F240" s="2895"/>
      <c r="G240" s="2939"/>
      <c r="H240" s="2012"/>
      <c r="I240" s="1163" t="s">
        <v>1289</v>
      </c>
      <c r="J240" s="1083"/>
      <c r="K240" s="2012"/>
      <c r="L240" s="726"/>
      <c r="M240" s="853"/>
      <c r="N240" s="846"/>
      <c r="O240" s="2136"/>
      <c r="P240" s="2136"/>
      <c r="AH240" s="2143">
        <v>0</v>
      </c>
    </row>
    <row s="50801" customFormat="1" customHeight="1" ht="0.75" hidden="1">
      <c r="A241" s="2292"/>
      <c r="B241" s="2292"/>
      <c r="C241" s="881" t="s">
        <v>1297</v>
      </c>
      <c r="D241" s="2974"/>
      <c r="E241" s="2716"/>
      <c r="F241" s="2895"/>
      <c r="G241" s="912"/>
      <c r="H241" s="2012"/>
      <c r="I241" s="1163"/>
      <c r="J241" s="1083"/>
      <c r="K241" s="2012"/>
      <c r="L241" s="726"/>
      <c r="M241" s="853"/>
      <c r="N241" s="846"/>
      <c r="O241" s="2136"/>
      <c r="P241" s="2136"/>
      <c r="AH241" s="2143">
        <v>0</v>
      </c>
    </row>
    <row s="50801" customFormat="1" customHeight="1" ht="18.75" hidden="1">
      <c r="A242" s="2292" t="s">
        <v>374</v>
      </c>
      <c r="B242" s="2292" t="s">
        <v>375</v>
      </c>
      <c r="C242" s="881"/>
      <c r="D242" s="2974"/>
      <c r="E242" s="2716"/>
      <c r="F242" s="2895" t="str">
        <f>INDEX(PT_DIFFERENTIATION_VTAR,MATCH(A242,PT_DIFFERENTIATION_VTAR_ID,0))</f>
        <v>Тариф на транспортировку воды</v>
      </c>
      <c r="G242" s="2939" t="str">
        <f>INDEX(PT_DIFFERENTIATION_NTAR,MATCH(B242,PT_DIFFERENTIATION_NTAR_ID,0))</f>
        <v/>
      </c>
      <c r="H242" s="2374"/>
      <c r="I242" s="2251"/>
      <c r="J242" s="2285"/>
      <c r="K242" s="2290"/>
      <c r="L242" s="2374" t="s">
        <v>445</v>
      </c>
      <c r="M242" s="853"/>
      <c r="N242" s="846"/>
      <c r="O242" s="2136"/>
      <c r="P242" s="2136"/>
      <c r="AH242" s="2143">
        <v>0</v>
      </c>
    </row>
    <row s="50801" customFormat="1" customHeight="1" ht="18.75" hidden="1">
      <c r="A243" s="2292"/>
      <c r="B243" s="2292"/>
      <c r="C243" s="881" t="s">
        <v>1290</v>
      </c>
      <c r="D243" s="2974"/>
      <c r="E243" s="2716"/>
      <c r="F243" s="2895"/>
      <c r="G243" s="2939"/>
      <c r="H243" s="2012"/>
      <c r="I243" s="1163" t="s">
        <v>1289</v>
      </c>
      <c r="J243" s="1083"/>
      <c r="K243" s="2012"/>
      <c r="L243" s="726"/>
      <c r="M243" s="853"/>
      <c r="N243" s="846"/>
      <c r="O243" s="2136"/>
      <c r="P243" s="2136"/>
      <c r="AH243" s="2143">
        <v>0</v>
      </c>
    </row>
    <row s="50801" customFormat="1" customHeight="1" ht="0.75" hidden="1">
      <c r="A244" s="2292"/>
      <c r="B244" s="2292"/>
      <c r="C244" s="881" t="s">
        <v>1297</v>
      </c>
      <c r="D244" s="2974"/>
      <c r="E244" s="2716"/>
      <c r="F244" s="2895"/>
      <c r="G244" s="912"/>
      <c r="H244" s="2012"/>
      <c r="I244" s="1163"/>
      <c r="J244" s="1083"/>
      <c r="K244" s="2012"/>
      <c r="L244" s="726"/>
      <c r="M244" s="853"/>
      <c r="N244" s="846"/>
      <c r="O244" s="2136"/>
      <c r="P244" s="2136"/>
      <c r="AH244" s="2143">
        <v>0</v>
      </c>
    </row>
    <row s="50801" customFormat="1" customHeight="1" ht="18.75" hidden="1">
      <c r="A245" s="2292" t="s">
        <v>379</v>
      </c>
      <c r="B245" s="2292" t="s">
        <v>380</v>
      </c>
      <c r="C245" s="881"/>
      <c r="D245" s="2974"/>
      <c r="E245" s="2716"/>
      <c r="F245" s="2895" t="str">
        <f>INDEX(PT_DIFFERENTIATION_VTAR,MATCH(A245,PT_DIFFERENTIATION_VTAR_ID,0))</f>
        <v>Тариф на подвоз воды</v>
      </c>
      <c r="G245" s="2939" t="str">
        <f>INDEX(PT_DIFFERENTIATION_NTAR,MATCH(B245,PT_DIFFERENTIATION_NTAR_ID,0))</f>
        <v/>
      </c>
      <c r="H245" s="2374"/>
      <c r="I245" s="2251"/>
      <c r="J245" s="2285"/>
      <c r="K245" s="2290"/>
      <c r="L245" s="2374" t="s">
        <v>445</v>
      </c>
      <c r="M245" s="853"/>
      <c r="N245" s="846"/>
      <c r="O245" s="2136"/>
      <c r="P245" s="2136"/>
      <c r="AH245" s="2143">
        <v>0</v>
      </c>
    </row>
    <row s="50801" customFormat="1" customHeight="1" ht="18.75" hidden="1">
      <c r="A246" s="2292"/>
      <c r="B246" s="2292"/>
      <c r="C246" s="881" t="s">
        <v>1290</v>
      </c>
      <c r="D246" s="2974"/>
      <c r="E246" s="2716"/>
      <c r="F246" s="2895"/>
      <c r="G246" s="2939"/>
      <c r="H246" s="2012"/>
      <c r="I246" s="1163" t="s">
        <v>1289</v>
      </c>
      <c r="J246" s="1083"/>
      <c r="K246" s="2012"/>
      <c r="L246" s="726"/>
      <c r="M246" s="853"/>
      <c r="N246" s="846"/>
      <c r="O246" s="2136"/>
      <c r="P246" s="2136"/>
      <c r="AH246" s="2143">
        <v>0</v>
      </c>
    </row>
    <row s="50801" customFormat="1" customHeight="1" ht="0.75" hidden="1">
      <c r="A247" s="2292"/>
      <c r="B247" s="2292"/>
      <c r="C247" s="881" t="s">
        <v>1297</v>
      </c>
      <c r="D247" s="2974"/>
      <c r="E247" s="2716"/>
      <c r="F247" s="2895"/>
      <c r="G247" s="912"/>
      <c r="H247" s="2012"/>
      <c r="I247" s="1163"/>
      <c r="J247" s="1083"/>
      <c r="K247" s="2012"/>
      <c r="L247" s="726"/>
      <c r="M247" s="853"/>
      <c r="N247" s="846"/>
      <c r="O247" s="2136"/>
      <c r="P247" s="2136"/>
      <c r="AH247" s="2143">
        <v>0</v>
      </c>
    </row>
    <row s="50801" customFormat="1" customHeight="1" ht="18.75" hidden="1">
      <c r="A248" s="2292" t="s">
        <v>384</v>
      </c>
      <c r="B248" s="2292" t="s">
        <v>385</v>
      </c>
      <c r="C248" s="881"/>
      <c r="D248" s="2974"/>
      <c r="E248" s="2716"/>
      <c r="F248" s="28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9" t="str">
        <f>INDEX(PT_DIFFERENTIATION_NTAR,MATCH(B248,PT_DIFFERENTIATION_NTAR_ID,0))</f>
        <v/>
      </c>
      <c r="H248" s="2374"/>
      <c r="I248" s="2251"/>
      <c r="J248" s="2285"/>
      <c r="K248" s="2290"/>
      <c r="L248" s="2374" t="s">
        <v>445</v>
      </c>
      <c r="M248" s="853"/>
      <c r="N248" s="846"/>
      <c r="O248" s="2136"/>
      <c r="P248" s="2136"/>
      <c r="AH248" s="2143">
        <v>0</v>
      </c>
    </row>
    <row s="50801" customFormat="1" customHeight="1" ht="18.75" hidden="1">
      <c r="A249" s="2292"/>
      <c r="B249" s="2292"/>
      <c r="C249" s="881" t="s">
        <v>1290</v>
      </c>
      <c r="D249" s="2974"/>
      <c r="E249" s="2716"/>
      <c r="F249" s="2895"/>
      <c r="G249" s="2939"/>
      <c r="H249" s="2012"/>
      <c r="I249" s="1163" t="s">
        <v>1289</v>
      </c>
      <c r="J249" s="1083"/>
      <c r="K249" s="2012"/>
      <c r="L249" s="726"/>
      <c r="M249" s="853"/>
      <c r="N249" s="846"/>
      <c r="O249" s="2136"/>
      <c r="P249" s="2136"/>
      <c r="AH249" s="2143">
        <v>0</v>
      </c>
    </row>
    <row s="50801" customFormat="1" customHeight="1" ht="0.75" hidden="1">
      <c r="A250" s="2292"/>
      <c r="B250" s="2292"/>
      <c r="C250" s="881" t="s">
        <v>1297</v>
      </c>
      <c r="D250" s="2974"/>
      <c r="E250" s="2716"/>
      <c r="F250" s="2895"/>
      <c r="G250" s="912"/>
      <c r="H250" s="2012"/>
      <c r="I250" s="1163"/>
      <c r="J250" s="1083"/>
      <c r="K250" s="2012"/>
      <c r="L250" s="726"/>
      <c r="M250" s="853"/>
      <c r="N250" s="846"/>
      <c r="O250" s="2136"/>
      <c r="P250" s="2136"/>
      <c r="AH250" s="2143">
        <v>0</v>
      </c>
    </row>
    <row s="50801" customFormat="1" customHeight="1" ht="18.75" hidden="1">
      <c r="A251" s="2292" t="s">
        <v>389</v>
      </c>
      <c r="B251" s="2292" t="s">
        <v>390</v>
      </c>
      <c r="C251" s="881"/>
      <c r="D251" s="2974"/>
      <c r="E251" s="2716"/>
      <c r="F251" s="2895" t="str">
        <f>INDEX(PT_DIFFERENTIATION_VTAR,MATCH(A251,PT_DIFFERENTIATION_VTAR_ID,0))</f>
        <v>Тариф на горячую воду (горячее водоснабжение)</v>
      </c>
      <c r="G251" s="2939" t="str">
        <f>INDEX(PT_DIFFERENTIATION_NTAR,MATCH(B251,PT_DIFFERENTIATION_NTAR_ID,0))</f>
        <v/>
      </c>
      <c r="H251" s="2374"/>
      <c r="I251" s="2251"/>
      <c r="J251" s="2285"/>
      <c r="K251" s="2290"/>
      <c r="L251" s="2374" t="s">
        <v>445</v>
      </c>
      <c r="M251" s="853"/>
      <c r="N251" s="846"/>
      <c r="O251" s="2136"/>
      <c r="P251" s="2136"/>
      <c r="AH251" s="2143">
        <v>0</v>
      </c>
    </row>
    <row s="50801" customFormat="1" customHeight="1" ht="18.75" hidden="1">
      <c r="A252" s="2292"/>
      <c r="B252" s="2292"/>
      <c r="C252" s="881" t="s">
        <v>1290</v>
      </c>
      <c r="D252" s="2974"/>
      <c r="E252" s="2716"/>
      <c r="F252" s="2895"/>
      <c r="G252" s="2939"/>
      <c r="H252" s="2012"/>
      <c r="I252" s="1163" t="s">
        <v>1289</v>
      </c>
      <c r="J252" s="1083"/>
      <c r="K252" s="2012"/>
      <c r="L252" s="726"/>
      <c r="M252" s="853"/>
      <c r="N252" s="846"/>
      <c r="O252" s="2136"/>
      <c r="P252" s="2136"/>
      <c r="AH252" s="2143">
        <v>0</v>
      </c>
    </row>
    <row s="50801" customFormat="1" customHeight="1" ht="0.75" hidden="1">
      <c r="A253" s="2292"/>
      <c r="B253" s="2292"/>
      <c r="C253" s="881" t="s">
        <v>1297</v>
      </c>
      <c r="D253" s="2974"/>
      <c r="E253" s="2716"/>
      <c r="F253" s="2895"/>
      <c r="G253" s="912"/>
      <c r="H253" s="2012"/>
      <c r="I253" s="1163"/>
      <c r="J253" s="1083"/>
      <c r="K253" s="2012"/>
      <c r="L253" s="726"/>
      <c r="M253" s="853"/>
      <c r="N253" s="846"/>
      <c r="O253" s="2136"/>
      <c r="P253" s="2136"/>
      <c r="AH253" s="2143">
        <v>0</v>
      </c>
    </row>
    <row s="50801" customFormat="1" customHeight="1" ht="18.75" hidden="1">
      <c r="A254" s="2292" t="s">
        <v>394</v>
      </c>
      <c r="B254" s="2292" t="s">
        <v>395</v>
      </c>
      <c r="C254" s="881"/>
      <c r="D254" s="2974"/>
      <c r="E254" s="2716"/>
      <c r="F254" s="2895" t="str">
        <f>INDEX(PT_DIFFERENTIATION_VTAR,MATCH(A254,PT_DIFFERENTIATION_VTAR_ID,0))</f>
        <v>Тариф на транспортировку горячей воды</v>
      </c>
      <c r="G254" s="2939" t="str">
        <f>INDEX(PT_DIFFERENTIATION_NTAR,MATCH(B254,PT_DIFFERENTIATION_NTAR_ID,0))</f>
        <v/>
      </c>
      <c r="H254" s="2374"/>
      <c r="I254" s="2251"/>
      <c r="J254" s="2285"/>
      <c r="K254" s="2290"/>
      <c r="L254" s="2374" t="s">
        <v>445</v>
      </c>
      <c r="M254" s="853"/>
      <c r="N254" s="846"/>
      <c r="O254" s="2136"/>
      <c r="P254" s="2136"/>
      <c r="AH254" s="2143">
        <v>0</v>
      </c>
    </row>
    <row s="50801" customFormat="1" customHeight="1" ht="18.75" hidden="1">
      <c r="A255" s="2292"/>
      <c r="B255" s="2292"/>
      <c r="C255" s="881" t="s">
        <v>1290</v>
      </c>
      <c r="D255" s="2974"/>
      <c r="E255" s="2716"/>
      <c r="F255" s="2895"/>
      <c r="G255" s="2939"/>
      <c r="H255" s="2012"/>
      <c r="I255" s="1163" t="s">
        <v>1289</v>
      </c>
      <c r="J255" s="1083"/>
      <c r="K255" s="2012"/>
      <c r="L255" s="726"/>
      <c r="M255" s="853"/>
      <c r="N255" s="846"/>
      <c r="O255" s="2136"/>
      <c r="P255" s="2136"/>
      <c r="AH255" s="2143">
        <v>0</v>
      </c>
    </row>
    <row s="50801" customFormat="1" customHeight="1" ht="0.75" hidden="1">
      <c r="A256" s="2292"/>
      <c r="B256" s="2292"/>
      <c r="C256" s="881" t="s">
        <v>1297</v>
      </c>
      <c r="D256" s="2974"/>
      <c r="E256" s="2716"/>
      <c r="F256" s="2895"/>
      <c r="G256" s="912"/>
      <c r="H256" s="2012"/>
      <c r="I256" s="1163"/>
      <c r="J256" s="1083"/>
      <c r="K256" s="2012"/>
      <c r="L256" s="726"/>
      <c r="M256" s="853"/>
      <c r="N256" s="846"/>
      <c r="O256" s="2136"/>
      <c r="P256" s="2136"/>
      <c r="AH256" s="2143">
        <v>0</v>
      </c>
    </row>
    <row s="50801" customFormat="1" customHeight="1" ht="18.75" hidden="1">
      <c r="A257" s="2292" t="s">
        <v>399</v>
      </c>
      <c r="B257" s="2292" t="s">
        <v>400</v>
      </c>
      <c r="C257" s="881"/>
      <c r="D257" s="2974"/>
      <c r="E257" s="2716"/>
      <c r="F257" s="28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9" t="str">
        <f>INDEX(PT_DIFFERENTIATION_NTAR,MATCH(B257,PT_DIFFERENTIATION_NTAR_ID,0))</f>
        <v/>
      </c>
      <c r="H257" s="2374"/>
      <c r="I257" s="2251"/>
      <c r="J257" s="2285"/>
      <c r="K257" s="2290"/>
      <c r="L257" s="2374" t="s">
        <v>445</v>
      </c>
      <c r="M257" s="853"/>
      <c r="N257" s="846"/>
      <c r="O257" s="2136"/>
      <c r="P257" s="2136"/>
      <c r="AH257" s="2143">
        <v>0</v>
      </c>
    </row>
    <row s="50801" customFormat="1" customHeight="1" ht="18.75" hidden="1">
      <c r="A258" s="2292"/>
      <c r="B258" s="2292"/>
      <c r="C258" s="881" t="s">
        <v>1290</v>
      </c>
      <c r="D258" s="2974"/>
      <c r="E258" s="2716"/>
      <c r="F258" s="2895"/>
      <c r="G258" s="2939"/>
      <c r="H258" s="2012"/>
      <c r="I258" s="1163" t="s">
        <v>1289</v>
      </c>
      <c r="J258" s="1083"/>
      <c r="K258" s="2012"/>
      <c r="L258" s="726"/>
      <c r="M258" s="853"/>
      <c r="N258" s="846"/>
      <c r="O258" s="2136"/>
      <c r="P258" s="2136"/>
      <c r="AH258" s="2143">
        <v>0</v>
      </c>
    </row>
    <row s="50801" customFormat="1" customHeight="1" ht="0.75" hidden="1">
      <c r="A259" s="2292"/>
      <c r="B259" s="2292"/>
      <c r="C259" s="881" t="s">
        <v>1297</v>
      </c>
      <c r="D259" s="2974"/>
      <c r="E259" s="2716"/>
      <c r="F259" s="2895"/>
      <c r="G259" s="912"/>
      <c r="H259" s="2012"/>
      <c r="I259" s="1163"/>
      <c r="J259" s="1083"/>
      <c r="K259" s="2012"/>
      <c r="L259" s="726"/>
      <c r="M259" s="853"/>
      <c r="N259" s="846"/>
      <c r="O259" s="2136"/>
      <c r="P259" s="2136"/>
      <c r="AH259" s="2143">
        <v>0</v>
      </c>
    </row>
    <row s="50801" customFormat="1" customHeight="1" ht="18.75" hidden="1">
      <c r="A260" s="2292" t="s">
        <v>404</v>
      </c>
      <c r="B260" s="2292" t="s">
        <v>405</v>
      </c>
      <c r="C260" s="881"/>
      <c r="D260" s="2974"/>
      <c r="E260" s="2716"/>
      <c r="F260" s="2895" t="str">
        <f>INDEX(PT_DIFFERENTIATION_VTAR,MATCH(A260,PT_DIFFERENTIATION_VTAR_ID,0))</f>
        <v>Тариф на водоотведение</v>
      </c>
      <c r="G260" s="2939" t="str">
        <f>INDEX(PT_DIFFERENTIATION_NTAR,MATCH(B260,PT_DIFFERENTIATION_NTAR_ID,0))</f>
        <v/>
      </c>
      <c r="H260" s="2374"/>
      <c r="I260" s="2251"/>
      <c r="J260" s="2285"/>
      <c r="K260" s="2290"/>
      <c r="L260" s="2374" t="s">
        <v>445</v>
      </c>
      <c r="M260" s="853"/>
      <c r="N260" s="846"/>
      <c r="O260" s="2136"/>
      <c r="P260" s="2136"/>
      <c r="AH260" s="2143">
        <v>0</v>
      </c>
    </row>
    <row s="50801" customFormat="1" customHeight="1" ht="18.75" hidden="1">
      <c r="A261" s="2292"/>
      <c r="B261" s="2292"/>
      <c r="C261" s="881" t="s">
        <v>1290</v>
      </c>
      <c r="D261" s="2974"/>
      <c r="E261" s="2716"/>
      <c r="F261" s="2895"/>
      <c r="G261" s="2939"/>
      <c r="H261" s="2012"/>
      <c r="I261" s="1163" t="s">
        <v>1289</v>
      </c>
      <c r="J261" s="1083"/>
      <c r="K261" s="2012"/>
      <c r="L261" s="726"/>
      <c r="M261" s="853"/>
      <c r="N261" s="846"/>
      <c r="O261" s="2136"/>
      <c r="P261" s="2136"/>
      <c r="AH261" s="2143">
        <v>0</v>
      </c>
    </row>
    <row s="50801" customFormat="1" customHeight="1" ht="0.75" hidden="1">
      <c r="A262" s="2292"/>
      <c r="B262" s="2292"/>
      <c r="C262" s="881" t="s">
        <v>1297</v>
      </c>
      <c r="D262" s="2974"/>
      <c r="E262" s="2716"/>
      <c r="F262" s="2895"/>
      <c r="G262" s="912"/>
      <c r="H262" s="2012"/>
      <c r="I262" s="1163"/>
      <c r="J262" s="1083"/>
      <c r="K262" s="2012"/>
      <c r="L262" s="726"/>
      <c r="M262" s="853"/>
      <c r="N262" s="846"/>
      <c r="O262" s="2136"/>
      <c r="P262" s="2136"/>
      <c r="AH262" s="2143">
        <v>0</v>
      </c>
    </row>
    <row s="50801" customFormat="1" customHeight="1" ht="18.75" hidden="1">
      <c r="A263" s="2292" t="s">
        <v>409</v>
      </c>
      <c r="B263" s="2292" t="s">
        <v>410</v>
      </c>
      <c r="C263" s="881"/>
      <c r="D263" s="2974"/>
      <c r="E263" s="2716"/>
      <c r="F263" s="2895" t="str">
        <f>INDEX(PT_DIFFERENTIATION_VTAR,MATCH(A263,PT_DIFFERENTIATION_VTAR_ID,0))</f>
        <v>Тариф на транспортировку сточных вод</v>
      </c>
      <c r="G263" s="2939" t="str">
        <f>INDEX(PT_DIFFERENTIATION_NTAR,MATCH(B263,PT_DIFFERENTIATION_NTAR_ID,0))</f>
        <v/>
      </c>
      <c r="H263" s="2374"/>
      <c r="I263" s="2251"/>
      <c r="J263" s="2285"/>
      <c r="K263" s="2290"/>
      <c r="L263" s="2374" t="s">
        <v>445</v>
      </c>
      <c r="M263" s="853"/>
      <c r="N263" s="846"/>
      <c r="O263" s="2136"/>
      <c r="P263" s="2136"/>
      <c r="AH263" s="2143">
        <v>0</v>
      </c>
    </row>
    <row s="50801" customFormat="1" customHeight="1" ht="18.75" hidden="1">
      <c r="A264" s="2292"/>
      <c r="B264" s="2292"/>
      <c r="C264" s="881" t="s">
        <v>1290</v>
      </c>
      <c r="D264" s="2974"/>
      <c r="E264" s="2716"/>
      <c r="F264" s="2895"/>
      <c r="G264" s="2939"/>
      <c r="H264" s="2012"/>
      <c r="I264" s="1163" t="s">
        <v>1289</v>
      </c>
      <c r="J264" s="1083"/>
      <c r="K264" s="2012"/>
      <c r="L264" s="726"/>
      <c r="M264" s="853"/>
      <c r="N264" s="846"/>
      <c r="O264" s="2136"/>
      <c r="P264" s="2136"/>
      <c r="AH264" s="2143">
        <v>0</v>
      </c>
    </row>
    <row s="50801" customFormat="1" customHeight="1" ht="0.75" hidden="1">
      <c r="A265" s="2292"/>
      <c r="B265" s="2292"/>
      <c r="C265" s="881" t="s">
        <v>1297</v>
      </c>
      <c r="D265" s="2974"/>
      <c r="E265" s="2716"/>
      <c r="F265" s="2895"/>
      <c r="G265" s="912"/>
      <c r="H265" s="2012"/>
      <c r="I265" s="1163"/>
      <c r="J265" s="1083"/>
      <c r="K265" s="2012"/>
      <c r="L265" s="726"/>
      <c r="M265" s="853"/>
      <c r="N265" s="846"/>
      <c r="O265" s="2136"/>
      <c r="P265" s="2136"/>
      <c r="AH265" s="2143">
        <v>0</v>
      </c>
    </row>
    <row s="50801" customFormat="1" customHeight="1" ht="18.75" hidden="1">
      <c r="A266" s="2292" t="s">
        <v>414</v>
      </c>
      <c r="B266" s="2292" t="s">
        <v>415</v>
      </c>
      <c r="C266" s="881"/>
      <c r="D266" s="2974"/>
      <c r="E266" s="2716"/>
      <c r="F266" s="2895" t="str">
        <f>INDEX(PT_DIFFERENTIATION_VTAR,MATCH(A266,PT_DIFFERENTIATION_VTAR_ID,0))</f>
        <v>Тариф на подключение (технологическое присоединение) к централизованной системе водоотведения</v>
      </c>
      <c r="G266" s="2939" t="str">
        <f>INDEX(PT_DIFFERENTIATION_NTAR,MATCH(B266,PT_DIFFERENTIATION_NTAR_ID,0))</f>
        <v/>
      </c>
      <c r="H266" s="2374"/>
      <c r="I266" s="2251"/>
      <c r="J266" s="2285"/>
      <c r="K266" s="2290"/>
      <c r="L266" s="2374" t="s">
        <v>445</v>
      </c>
      <c r="M266" s="853"/>
      <c r="N266" s="846"/>
      <c r="O266" s="2136"/>
      <c r="P266" s="2136"/>
      <c r="AH266" s="2143">
        <v>0</v>
      </c>
    </row>
    <row s="50801" customFormat="1" customHeight="1" ht="18.75" hidden="1">
      <c r="A267" s="2292"/>
      <c r="B267" s="2292"/>
      <c r="C267" s="881" t="s">
        <v>1290</v>
      </c>
      <c r="D267" s="2974"/>
      <c r="E267" s="2716"/>
      <c r="F267" s="2895"/>
      <c r="G267" s="2939"/>
      <c r="H267" s="2012"/>
      <c r="I267" s="1163" t="s">
        <v>1289</v>
      </c>
      <c r="J267" s="1083"/>
      <c r="K267" s="2012"/>
      <c r="L267" s="726"/>
      <c r="M267" s="853"/>
      <c r="N267" s="846"/>
      <c r="O267" s="2136"/>
      <c r="P267" s="2136"/>
      <c r="AH267" s="2143">
        <v>0</v>
      </c>
    </row>
    <row s="50801" customFormat="1" customHeight="1" ht="1.05">
      <c r="A268" s="2292"/>
      <c r="B268" s="2292"/>
      <c r="C268" s="881" t="s">
        <v>1297</v>
      </c>
      <c r="D268" s="2974"/>
      <c r="E268" s="2716"/>
      <c r="F268" s="2895"/>
      <c r="G268" s="912"/>
      <c r="H268" s="2012"/>
      <c r="I268" s="1163"/>
      <c r="J268" s="1083"/>
      <c r="K268" s="2012"/>
      <c r="L268" s="726"/>
      <c r="M268" s="853"/>
      <c r="N268" s="846"/>
      <c r="O268" s="2136"/>
      <c r="P268" s="2136"/>
      <c r="AH268" s="2143">
        <v>1</v>
      </c>
    </row>
    <row customHeight="1" ht="27.299999999999997">
      <c r="A269" s="2292"/>
      <c r="B269" s="2292"/>
      <c r="D269" s="888"/>
      <c r="E269" s="659" t="s">
        <v>94</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72"/>
      <c r="H269" s="2972"/>
      <c r="I269" s="2972"/>
      <c r="J269" s="2972"/>
      <c r="K269" s="2972"/>
      <c r="L269" s="2972"/>
      <c r="M269" s="809"/>
      <c r="N269" s="846"/>
      <c r="AH269" s="886">
        <v>26</v>
      </c>
    </row>
    <row s="50801" customFormat="1" customHeight="1" ht="60.75" hidden="1">
      <c r="A270" s="2292" t="s">
        <v>215</v>
      </c>
      <c r="B270" s="2292" t="s">
        <v>216</v>
      </c>
      <c r="C270" s="881"/>
      <c r="D270" s="2974"/>
      <c r="E270" s="2716"/>
      <c r="F270" s="28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9" t="str">
        <f>INDEX(PT_DIFFERENTIATION_NTAR,MATCH(B270,PT_DIFFERENTIATION_NTAR_ID,0))</f>
        <v/>
      </c>
      <c r="H270" s="2374"/>
      <c r="I270" s="2251"/>
      <c r="J270" s="2285"/>
      <c r="K270" s="2290"/>
      <c r="L270" s="2374" t="s">
        <v>445</v>
      </c>
      <c r="M270"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46"/>
      <c r="O270" s="2136"/>
      <c r="P270" s="2136"/>
      <c r="AH270" s="2143">
        <v>0</v>
      </c>
    </row>
    <row s="50801" customFormat="1" customHeight="1" ht="18.75" hidden="1">
      <c r="A271" s="2292"/>
      <c r="B271" s="2292"/>
      <c r="C271" s="881" t="s">
        <v>1290</v>
      </c>
      <c r="D271" s="2974"/>
      <c r="E271" s="2716"/>
      <c r="F271" s="2895"/>
      <c r="G271" s="2939"/>
      <c r="H271" s="2012"/>
      <c r="I271" s="1163" t="s">
        <v>1289</v>
      </c>
      <c r="J271" s="1083"/>
      <c r="K271" s="2012"/>
      <c r="L271" s="726"/>
      <c r="M271" s="2682"/>
      <c r="N271" s="846"/>
      <c r="O271" s="2136"/>
      <c r="P271" s="2136"/>
      <c r="AH271" s="2143">
        <v>0</v>
      </c>
    </row>
    <row s="50801" customFormat="1" customHeight="1" ht="0.75" hidden="1">
      <c r="A272" s="2292"/>
      <c r="B272" s="2292"/>
      <c r="C272" s="881" t="s">
        <v>1297</v>
      </c>
      <c r="D272" s="2974"/>
      <c r="E272" s="2716"/>
      <c r="F272" s="2895"/>
      <c r="G272" s="912"/>
      <c r="H272" s="2012"/>
      <c r="I272" s="1163"/>
      <c r="J272" s="1083"/>
      <c r="K272" s="2012"/>
      <c r="L272" s="726"/>
      <c r="M272" s="2682"/>
      <c r="N272" s="846"/>
      <c r="O272" s="2136"/>
      <c r="P272" s="2136"/>
      <c r="AH272" s="2143">
        <v>0</v>
      </c>
    </row>
    <row s="50801" customFormat="1" customHeight="1" ht="45" hidden="1">
      <c r="A273" s="2292" t="s">
        <v>220</v>
      </c>
      <c r="B273" s="2292" t="s">
        <v>221</v>
      </c>
      <c r="C273" s="881"/>
      <c r="D273" s="2974"/>
      <c r="E273" s="2716"/>
      <c r="F273" s="2895" t="str">
        <f>INDEX(PT_DIFFERENTIATION_VTAR,MATCH(A273,PT_DIFFERENTIATION_VTAR_ID,0))</f>
        <v/>
      </c>
      <c r="G273" s="2939" t="str">
        <f>INDEX(PT_DIFFERENTIATION_NTAR,MATCH(B273,PT_DIFFERENTIATION_NTAR_ID,0))</f>
        <v/>
      </c>
      <c r="H273" s="2374"/>
      <c r="I273" s="2251"/>
      <c r="J273" s="2285"/>
      <c r="K273" s="2290"/>
      <c r="L273" s="2374" t="s">
        <v>445</v>
      </c>
      <c r="M273" s="2683"/>
      <c r="N273" s="846"/>
      <c r="O273" s="2136"/>
      <c r="P273" s="2136"/>
      <c r="AH273" s="2143">
        <v>0</v>
      </c>
    </row>
    <row s="50801" customFormat="1" customHeight="1" ht="18.75" hidden="1">
      <c r="A274" s="2292"/>
      <c r="B274" s="2292"/>
      <c r="C274" s="881" t="s">
        <v>1290</v>
      </c>
      <c r="D274" s="2974"/>
      <c r="E274" s="2716"/>
      <c r="F274" s="2895"/>
      <c r="G274" s="2939"/>
      <c r="H274" s="2012"/>
      <c r="I274" s="1163" t="s">
        <v>1289</v>
      </c>
      <c r="J274" s="1083"/>
      <c r="K274" s="2012"/>
      <c r="L274" s="726"/>
      <c r="M274" s="2373"/>
      <c r="N274" s="846"/>
      <c r="O274" s="2136"/>
      <c r="P274" s="2136"/>
      <c r="AH274" s="2143">
        <v>0</v>
      </c>
    </row>
    <row s="50801" customFormat="1" customHeight="1" ht="0.75" hidden="1">
      <c r="A275" s="2292"/>
      <c r="B275" s="2292"/>
      <c r="C275" s="881" t="s">
        <v>1297</v>
      </c>
      <c r="D275" s="2974"/>
      <c r="E275" s="2716"/>
      <c r="F275" s="2895"/>
      <c r="G275" s="912"/>
      <c r="H275" s="2012"/>
      <c r="I275" s="1163"/>
      <c r="J275" s="1083"/>
      <c r="K275" s="2012"/>
      <c r="L275" s="726"/>
      <c r="M275" s="853"/>
      <c r="N275" s="846"/>
      <c r="O275" s="2136"/>
      <c r="P275" s="2136"/>
      <c r="AH275" s="2143">
        <v>0</v>
      </c>
    </row>
    <row s="50801" customFormat="1" customHeight="1" ht="45" hidden="1">
      <c r="A276" s="2292" t="s">
        <v>227</v>
      </c>
      <c r="B276" s="2292" t="s">
        <v>228</v>
      </c>
      <c r="C276" s="881"/>
      <c r="D276" s="2974"/>
      <c r="E276" s="2716"/>
      <c r="F276" s="28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9" t="str">
        <f>INDEX(PT_DIFFERENTIATION_NTAR,MATCH(B276,PT_DIFFERENTIATION_NTAR_ID,0))</f>
        <v/>
      </c>
      <c r="H276" s="2374"/>
      <c r="I276" s="2251"/>
      <c r="J276" s="2285"/>
      <c r="K276" s="2290"/>
      <c r="L276" s="2374" t="s">
        <v>445</v>
      </c>
      <c r="M276" s="853"/>
      <c r="N276" s="846"/>
      <c r="O276" s="2136"/>
      <c r="P276" s="2136"/>
      <c r="AH276" s="2143">
        <v>0</v>
      </c>
    </row>
    <row s="50801" customFormat="1" customHeight="1" ht="18.75" hidden="1">
      <c r="A277" s="2292"/>
      <c r="B277" s="2292"/>
      <c r="C277" s="881" t="s">
        <v>1290</v>
      </c>
      <c r="D277" s="2974"/>
      <c r="E277" s="2716"/>
      <c r="F277" s="2895"/>
      <c r="G277" s="2939"/>
      <c r="H277" s="2012"/>
      <c r="I277" s="1163" t="s">
        <v>1289</v>
      </c>
      <c r="J277" s="1083"/>
      <c r="K277" s="2012"/>
      <c r="L277" s="726"/>
      <c r="M277" s="853"/>
      <c r="N277" s="846"/>
      <c r="O277" s="2136"/>
      <c r="P277" s="2136"/>
      <c r="AH277" s="2143">
        <v>0</v>
      </c>
    </row>
    <row s="50801" customFormat="1" customHeight="1" ht="0.75" hidden="1">
      <c r="A278" s="2292"/>
      <c r="B278" s="2292"/>
      <c r="C278" s="881" t="s">
        <v>1297</v>
      </c>
      <c r="D278" s="2974"/>
      <c r="E278" s="2716"/>
      <c r="F278" s="2895"/>
      <c r="G278" s="912"/>
      <c r="H278" s="2012"/>
      <c r="I278" s="1163"/>
      <c r="J278" s="1083"/>
      <c r="K278" s="2012"/>
      <c r="L278" s="726"/>
      <c r="M278" s="853"/>
      <c r="N278" s="846"/>
      <c r="O278" s="2136"/>
      <c r="P278" s="2136"/>
      <c r="AH278" s="2143">
        <v>0</v>
      </c>
    </row>
    <row s="50801" customFormat="1" customHeight="1" ht="45" hidden="1">
      <c r="A279" s="2292" t="s">
        <v>233</v>
      </c>
      <c r="B279" s="2292" t="s">
        <v>234</v>
      </c>
      <c r="C279" s="881"/>
      <c r="D279" s="2974"/>
      <c r="E279" s="2716"/>
      <c r="F279" s="28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9" t="str">
        <f>INDEX(PT_DIFFERENTIATION_NTAR,MATCH(B279,PT_DIFFERENTIATION_NTAR_ID,0))</f>
        <v/>
      </c>
      <c r="H279" s="2374"/>
      <c r="I279" s="2251"/>
      <c r="J279" s="2285"/>
      <c r="K279" s="2290"/>
      <c r="L279" s="2374" t="s">
        <v>445</v>
      </c>
      <c r="M279" s="853"/>
      <c r="N279" s="846"/>
      <c r="O279" s="2136"/>
      <c r="P279" s="2136"/>
      <c r="AH279" s="2143">
        <v>0</v>
      </c>
    </row>
    <row s="50801" customFormat="1" customHeight="1" ht="18.75" hidden="1">
      <c r="A280" s="2292"/>
      <c r="B280" s="2292"/>
      <c r="C280" s="881" t="s">
        <v>1290</v>
      </c>
      <c r="D280" s="2974"/>
      <c r="E280" s="2716"/>
      <c r="F280" s="2895"/>
      <c r="G280" s="2939"/>
      <c r="H280" s="2012"/>
      <c r="I280" s="1163" t="s">
        <v>1289</v>
      </c>
      <c r="J280" s="1083"/>
      <c r="K280" s="2012"/>
      <c r="L280" s="726"/>
      <c r="M280" s="853"/>
      <c r="N280" s="846"/>
      <c r="O280" s="2136"/>
      <c r="P280" s="2136"/>
      <c r="AH280" s="2143">
        <v>0</v>
      </c>
    </row>
    <row s="50801" customFormat="1" customHeight="1" ht="0.75" hidden="1">
      <c r="A281" s="2292"/>
      <c r="B281" s="2292"/>
      <c r="C281" s="881" t="s">
        <v>1297</v>
      </c>
      <c r="D281" s="2974"/>
      <c r="E281" s="2716"/>
      <c r="F281" s="2895"/>
      <c r="G281" s="912"/>
      <c r="H281" s="2012"/>
      <c r="I281" s="1163"/>
      <c r="J281" s="1083"/>
      <c r="K281" s="2012"/>
      <c r="L281" s="726"/>
      <c r="M281" s="853"/>
      <c r="N281" s="846"/>
      <c r="O281" s="2136"/>
      <c r="P281" s="2136"/>
      <c r="AH281" s="2143">
        <v>0</v>
      </c>
    </row>
    <row s="50801" customFormat="1" customHeight="1" ht="18.75" hidden="1">
      <c r="A282" s="2292" t="s">
        <v>239</v>
      </c>
      <c r="B282" s="2292" t="s">
        <v>240</v>
      </c>
      <c r="C282" s="881"/>
      <c r="D282" s="2974"/>
      <c r="E282" s="2716"/>
      <c r="F282" s="2895" t="str">
        <f>INDEX(PT_DIFFERENTIATION_VTAR,MATCH(A282,PT_DIFFERENTIATION_VTAR_ID,0))</f>
        <v>Тарифы на услуги по передаче тепловой энергии</v>
      </c>
      <c r="G282" s="2939" t="str">
        <f>INDEX(PT_DIFFERENTIATION_NTAR,MATCH(B282,PT_DIFFERENTIATION_NTAR_ID,0))</f>
        <v/>
      </c>
      <c r="H282" s="2374"/>
      <c r="I282" s="2251"/>
      <c r="J282" s="2285"/>
      <c r="K282" s="2290"/>
      <c r="L282" s="2374" t="s">
        <v>445</v>
      </c>
      <c r="M282" s="853"/>
      <c r="N282" s="846"/>
      <c r="O282" s="2136"/>
      <c r="P282" s="2136"/>
      <c r="AH282" s="2143">
        <v>0</v>
      </c>
    </row>
    <row s="50801" customFormat="1" customHeight="1" ht="18.75" hidden="1">
      <c r="A283" s="2292"/>
      <c r="B283" s="2292"/>
      <c r="C283" s="881" t="s">
        <v>1290</v>
      </c>
      <c r="D283" s="2974"/>
      <c r="E283" s="2716"/>
      <c r="F283" s="2895"/>
      <c r="G283" s="2939"/>
      <c r="H283" s="2012"/>
      <c r="I283" s="1163" t="s">
        <v>1289</v>
      </c>
      <c r="J283" s="1083"/>
      <c r="K283" s="2012"/>
      <c r="L283" s="726"/>
      <c r="M283" s="853"/>
      <c r="N283" s="846"/>
      <c r="O283" s="2136"/>
      <c r="P283" s="2136"/>
      <c r="AH283" s="2143">
        <v>0</v>
      </c>
    </row>
    <row s="50801" customFormat="1" customHeight="1" ht="0.75" hidden="1">
      <c r="A284" s="2292"/>
      <c r="B284" s="2292"/>
      <c r="C284" s="881" t="s">
        <v>1297</v>
      </c>
      <c r="D284" s="2974"/>
      <c r="E284" s="2716"/>
      <c r="F284" s="2895"/>
      <c r="G284" s="912"/>
      <c r="H284" s="2012"/>
      <c r="I284" s="1163"/>
      <c r="J284" s="1083"/>
      <c r="K284" s="2012"/>
      <c r="L284" s="726"/>
      <c r="M284" s="853"/>
      <c r="N284" s="846"/>
      <c r="O284" s="2136"/>
      <c r="P284" s="2136"/>
      <c r="AH284" s="2143">
        <v>0</v>
      </c>
    </row>
    <row s="50801" customFormat="1" customHeight="1" ht="18.75" hidden="1">
      <c r="A285" s="2292" t="s">
        <v>245</v>
      </c>
      <c r="B285" s="2292" t="s">
        <v>246</v>
      </c>
      <c r="C285" s="881"/>
      <c r="D285" s="2974"/>
      <c r="E285" s="2716"/>
      <c r="F285" s="2895" t="str">
        <f>INDEX(PT_DIFFERENTIATION_VTAR,MATCH(A285,PT_DIFFERENTIATION_VTAR_ID,0))</f>
        <v>Тарифы на услуги по передаче теплоносителя</v>
      </c>
      <c r="G285" s="2939" t="str">
        <f>INDEX(PT_DIFFERENTIATION_NTAR,MATCH(B285,PT_DIFFERENTIATION_NTAR_ID,0))</f>
        <v/>
      </c>
      <c r="H285" s="2374"/>
      <c r="I285" s="2251"/>
      <c r="J285" s="2285"/>
      <c r="K285" s="2290"/>
      <c r="L285" s="2374" t="s">
        <v>445</v>
      </c>
      <c r="M285" s="853"/>
      <c r="N285" s="846"/>
      <c r="O285" s="2136"/>
      <c r="P285" s="2136"/>
      <c r="AH285" s="2143">
        <v>0</v>
      </c>
    </row>
    <row s="50801" customFormat="1" customHeight="1" ht="18.75" hidden="1">
      <c r="A286" s="2292"/>
      <c r="B286" s="2292"/>
      <c r="C286" s="881" t="s">
        <v>1290</v>
      </c>
      <c r="D286" s="2974"/>
      <c r="E286" s="2716"/>
      <c r="F286" s="2895"/>
      <c r="G286" s="2939"/>
      <c r="H286" s="2012"/>
      <c r="I286" s="1163" t="s">
        <v>1289</v>
      </c>
      <c r="J286" s="1083"/>
      <c r="K286" s="2012"/>
      <c r="L286" s="726"/>
      <c r="M286" s="853"/>
      <c r="N286" s="846"/>
      <c r="O286" s="2136"/>
      <c r="P286" s="2136"/>
      <c r="AH286" s="2143">
        <v>0</v>
      </c>
    </row>
    <row s="50801" customFormat="1" customHeight="1" ht="0.75" hidden="1">
      <c r="A287" s="2292"/>
      <c r="B287" s="2292"/>
      <c r="C287" s="881" t="s">
        <v>1297</v>
      </c>
      <c r="D287" s="2974"/>
      <c r="E287" s="2716"/>
      <c r="F287" s="2895"/>
      <c r="G287" s="912"/>
      <c r="H287" s="2012"/>
      <c r="I287" s="1163"/>
      <c r="J287" s="1083"/>
      <c r="K287" s="2012"/>
      <c r="L287" s="726"/>
      <c r="M287" s="853"/>
      <c r="N287" s="846"/>
      <c r="O287" s="2136"/>
      <c r="P287" s="2136"/>
      <c r="AH287" s="2143">
        <v>0</v>
      </c>
    </row>
    <row s="50801" customFormat="1" customHeight="1" ht="18.75" hidden="1">
      <c r="A288" s="2292" t="s">
        <v>251</v>
      </c>
      <c r="B288" s="2292" t="s">
        <v>252</v>
      </c>
      <c r="C288" s="881"/>
      <c r="D288" s="2974"/>
      <c r="E288" s="2716"/>
      <c r="F288" s="28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9" t="str">
        <f>INDEX(PT_DIFFERENTIATION_NTAR,MATCH(B288,PT_DIFFERENTIATION_NTAR_ID,0))</f>
        <v/>
      </c>
      <c r="H288" s="2374"/>
      <c r="I288" s="2251"/>
      <c r="J288" s="2285"/>
      <c r="K288" s="2290"/>
      <c r="L288" s="2374" t="s">
        <v>445</v>
      </c>
      <c r="M288" s="853"/>
      <c r="N288" s="846"/>
      <c r="O288" s="2136"/>
      <c r="P288" s="2136"/>
      <c r="AH288" s="2143">
        <v>0</v>
      </c>
    </row>
    <row s="50801" customFormat="1" customHeight="1" ht="18.75" hidden="1">
      <c r="A289" s="2292"/>
      <c r="B289" s="2292"/>
      <c r="C289" s="881" t="s">
        <v>1290</v>
      </c>
      <c r="D289" s="2974"/>
      <c r="E289" s="2716"/>
      <c r="F289" s="2895"/>
      <c r="G289" s="2939"/>
      <c r="H289" s="2012"/>
      <c r="I289" s="1163" t="s">
        <v>1289</v>
      </c>
      <c r="J289" s="1083"/>
      <c r="K289" s="2012"/>
      <c r="L289" s="726"/>
      <c r="M289" s="853"/>
      <c r="N289" s="846"/>
      <c r="O289" s="2136"/>
      <c r="P289" s="2136"/>
      <c r="AH289" s="2143">
        <v>0</v>
      </c>
    </row>
    <row s="50801" customFormat="1" customHeight="1" ht="0.75" hidden="1">
      <c r="A290" s="2292"/>
      <c r="B290" s="2292"/>
      <c r="C290" s="881" t="s">
        <v>1297</v>
      </c>
      <c r="D290" s="2974"/>
      <c r="E290" s="2716"/>
      <c r="F290" s="2895"/>
      <c r="G290" s="912"/>
      <c r="H290" s="2012"/>
      <c r="I290" s="1163"/>
      <c r="J290" s="1083"/>
      <c r="K290" s="2012"/>
      <c r="L290" s="726"/>
      <c r="M290" s="853"/>
      <c r="N290" s="846"/>
      <c r="O290" s="2136"/>
      <c r="P290" s="2136"/>
      <c r="AH290" s="2143">
        <v>0</v>
      </c>
    </row>
    <row s="50801" customFormat="1" customHeight="1" ht="18.75" hidden="1">
      <c r="A291" s="2292" t="s">
        <v>257</v>
      </c>
      <c r="B291" s="2292" t="s">
        <v>258</v>
      </c>
      <c r="C291" s="881"/>
      <c r="D291" s="2974"/>
      <c r="E291" s="2716"/>
      <c r="F291" s="2895" t="str">
        <f>INDEX(PT_DIFFERENTIATION_VTAR,MATCH(A291,PT_DIFFERENTIATION_VTAR_ID,0))</f>
        <v>Плата за подключение (технологическое присоединение) к системе теплоснабжения</v>
      </c>
      <c r="G291" s="2939" t="str">
        <f>INDEX(PT_DIFFERENTIATION_NTAR,MATCH(B291,PT_DIFFERENTIATION_NTAR_ID,0))</f>
        <v/>
      </c>
      <c r="H291" s="2374"/>
      <c r="I291" s="2251"/>
      <c r="J291" s="2285"/>
      <c r="K291" s="2290"/>
      <c r="L291" s="2374" t="s">
        <v>445</v>
      </c>
      <c r="M291" s="853"/>
      <c r="N291" s="846"/>
      <c r="O291" s="2136"/>
      <c r="P291" s="2136"/>
      <c r="AH291" s="2143">
        <v>0</v>
      </c>
    </row>
    <row s="50801" customFormat="1" customHeight="1" ht="18.75" hidden="1">
      <c r="A292" s="2292"/>
      <c r="B292" s="2292"/>
      <c r="C292" s="881" t="s">
        <v>1290</v>
      </c>
      <c r="D292" s="2974"/>
      <c r="E292" s="2716"/>
      <c r="F292" s="2895"/>
      <c r="G292" s="2939"/>
      <c r="H292" s="2012"/>
      <c r="I292" s="1163" t="s">
        <v>1289</v>
      </c>
      <c r="J292" s="1083"/>
      <c r="K292" s="2012"/>
      <c r="L292" s="726"/>
      <c r="M292" s="853"/>
      <c r="N292" s="846"/>
      <c r="O292" s="2136"/>
      <c r="P292" s="2136"/>
      <c r="AH292" s="2143">
        <v>0</v>
      </c>
    </row>
    <row s="50801" customFormat="1" customHeight="1" ht="0.75" hidden="1">
      <c r="A293" s="2292"/>
      <c r="B293" s="2292"/>
      <c r="C293" s="881" t="s">
        <v>1297</v>
      </c>
      <c r="D293" s="2974"/>
      <c r="E293" s="2716"/>
      <c r="F293" s="2895"/>
      <c r="G293" s="912"/>
      <c r="H293" s="2012"/>
      <c r="I293" s="1163"/>
      <c r="J293" s="1083"/>
      <c r="K293" s="2012"/>
      <c r="L293" s="726"/>
      <c r="M293" s="853"/>
      <c r="N293" s="846"/>
      <c r="O293" s="2136"/>
      <c r="P293" s="2136"/>
      <c r="AH293" s="2143">
        <v>0</v>
      </c>
    </row>
    <row s="50801" customFormat="1" customHeight="1" ht="18.75" hidden="1">
      <c r="A294" s="2292" t="s">
        <v>263</v>
      </c>
      <c r="B294" s="2292" t="s">
        <v>264</v>
      </c>
      <c r="C294" s="881"/>
      <c r="D294" s="2974"/>
      <c r="E294" s="2716"/>
      <c r="F294" s="2895" t="str">
        <f>INDEX(PT_DIFFERENTIATION_VTAR,MATCH(A294,PT_DIFFERENTIATION_VTAR_ID,0))</f>
        <v>Плата за подключение (технологическое присоединение) к системе теплоснабжения (индивидуальная)</v>
      </c>
      <c r="G294" s="2939" t="str">
        <f>INDEX(PT_DIFFERENTIATION_NTAR,MATCH(B294,PT_DIFFERENTIATION_NTAR_ID,0))</f>
        <v/>
      </c>
      <c r="H294" s="2501"/>
      <c r="I294" s="2251"/>
      <c r="J294" s="2285"/>
      <c r="K294" s="2290"/>
      <c r="L294" s="2501" t="s">
        <v>445</v>
      </c>
      <c r="M294" s="853"/>
      <c r="N294" s="846"/>
      <c r="O294" s="2136"/>
      <c r="P294" s="2136"/>
      <c r="AH294" s="2143">
        <v>0</v>
      </c>
    </row>
    <row s="50801" customFormat="1" customHeight="1" ht="18.75" hidden="1">
      <c r="A295" s="2292"/>
      <c r="B295" s="2292"/>
      <c r="C295" s="881" t="s">
        <v>1290</v>
      </c>
      <c r="D295" s="2974"/>
      <c r="E295" s="2716"/>
      <c r="F295" s="2895"/>
      <c r="G295" s="2939"/>
      <c r="H295" s="2012"/>
      <c r="I295" s="1163" t="s">
        <v>1289</v>
      </c>
      <c r="J295" s="1083"/>
      <c r="K295" s="2012"/>
      <c r="L295" s="726"/>
      <c r="M295" s="853"/>
      <c r="N295" s="846"/>
      <c r="O295" s="2136"/>
      <c r="P295" s="2136"/>
      <c r="AH295" s="2143">
        <v>0</v>
      </c>
    </row>
    <row s="50801" customFormat="1" customHeight="1" ht="0.75" hidden="1">
      <c r="A296" s="2292"/>
      <c r="B296" s="2292"/>
      <c r="C296" s="881" t="s">
        <v>1297</v>
      </c>
      <c r="D296" s="2974"/>
      <c r="E296" s="2716"/>
      <c r="F296" s="2895"/>
      <c r="G296" s="912"/>
      <c r="H296" s="2012"/>
      <c r="I296" s="1163"/>
      <c r="J296" s="1083"/>
      <c r="K296" s="2012"/>
      <c r="L296" s="726"/>
      <c r="M296" s="853"/>
      <c r="N296" s="846"/>
      <c r="O296" s="2136"/>
      <c r="P296" s="2136"/>
      <c r="AH296" s="2143">
        <v>0</v>
      </c>
    </row>
    <row s="50801" customFormat="1" customHeight="1" ht="18.75" hidden="1">
      <c r="A297" s="2292" t="s">
        <v>286</v>
      </c>
      <c r="B297" s="2292" t="s">
        <v>287</v>
      </c>
      <c r="C297" s="881"/>
      <c r="D297" s="2974"/>
      <c r="E297" s="2716"/>
      <c r="F297" s="2895" t="str">
        <f>INDEX(PT_DIFFERENTIATION_VTAR,MATCH(A297,PT_DIFFERENTIATION_VTAR_ID,0))</f>
        <v>Тариф на питьевую воду (питьевое водоснабжение)</v>
      </c>
      <c r="G297" s="2939" t="str">
        <f>INDEX(PT_DIFFERENTIATION_NTAR,MATCH(B297,PT_DIFFERENTIATION_NTAR_ID,0))</f>
        <v>Тариф на питьевую воду для потребителей КГУП "Примтеплоэнерго"</v>
      </c>
      <c r="H297" s="2374"/>
      <c r="I297" s="2251"/>
      <c r="J297" s="2285"/>
      <c r="K297" s="2290"/>
      <c r="L297" s="2374" t="s">
        <v>445</v>
      </c>
      <c r="M297" s="853"/>
      <c r="N297" s="846"/>
      <c r="O297" s="2136"/>
      <c r="P297" s="2136"/>
      <c r="AH297" s="2143">
        <v>0</v>
      </c>
    </row>
    <row s="50801" customFormat="1" customHeight="1" ht="18.75" hidden="1">
      <c r="A298" s="2292"/>
      <c r="B298" s="2292"/>
      <c r="C298" s="881" t="s">
        <v>1290</v>
      </c>
      <c r="D298" s="2974"/>
      <c r="E298" s="2716"/>
      <c r="F298" s="2895"/>
      <c r="G298" s="2939"/>
      <c r="H298" s="2012"/>
      <c r="I298" s="1163" t="s">
        <v>1289</v>
      </c>
      <c r="J298" s="1083"/>
      <c r="K298" s="2012"/>
      <c r="L298" s="726"/>
      <c r="M298" s="853"/>
      <c r="N298" s="846"/>
      <c r="O298" s="2136"/>
      <c r="P298" s="2136"/>
      <c r="AH298" s="2143">
        <v>0</v>
      </c>
    </row>
    <row s="50801" customFormat="1" customHeight="1" ht="0.75" hidden="1">
      <c r="A299" s="2292"/>
      <c r="B299" s="2292"/>
      <c r="C299" s="881" t="s">
        <v>1297</v>
      </c>
      <c r="D299" s="2974"/>
      <c r="E299" s="2716"/>
      <c r="F299" s="2895"/>
      <c r="G299" s="912"/>
      <c r="H299" s="2012"/>
      <c r="I299" s="1163"/>
      <c r="J299" s="1083"/>
      <c r="K299" s="2012"/>
      <c r="L299" s="726"/>
      <c r="M299" s="853"/>
      <c r="N299" s="846"/>
      <c r="O299" s="2136"/>
      <c r="P299" s="2136"/>
      <c r="AH299" s="2143">
        <v>0</v>
      </c>
    </row>
    <row s="50801" customFormat="1" customHeight="1" ht="18.75" hidden="1">
      <c r="A300" s="2292" t="s">
        <v>369</v>
      </c>
      <c r="B300" s="2292" t="s">
        <v>370</v>
      </c>
      <c r="C300" s="881"/>
      <c r="D300" s="2974"/>
      <c r="E300" s="2716"/>
      <c r="F300" s="2895" t="str">
        <f>INDEX(PT_DIFFERENTIATION_VTAR,MATCH(A300,PT_DIFFERENTIATION_VTAR_ID,0))</f>
        <v>Тариф на техническую воду</v>
      </c>
      <c r="G300" s="2939" t="str">
        <f>INDEX(PT_DIFFERENTIATION_NTAR,MATCH(B300,PT_DIFFERENTIATION_NTAR_ID,0))</f>
        <v>Тариф на техническую воду</v>
      </c>
      <c r="H300" s="2374"/>
      <c r="I300" s="2251"/>
      <c r="J300" s="2285"/>
      <c r="K300" s="2290"/>
      <c r="L300" s="2374" t="s">
        <v>445</v>
      </c>
      <c r="M300" s="853"/>
      <c r="N300" s="846"/>
      <c r="O300" s="2136"/>
      <c r="P300" s="2136"/>
      <c r="AH300" s="2143">
        <v>0</v>
      </c>
    </row>
    <row s="50801" customFormat="1" customHeight="1" ht="18.75" hidden="1">
      <c r="A301" s="2292"/>
      <c r="B301" s="2292"/>
      <c r="C301" s="881" t="s">
        <v>1290</v>
      </c>
      <c r="D301" s="2974"/>
      <c r="E301" s="2716"/>
      <c r="F301" s="2895"/>
      <c r="G301" s="2939"/>
      <c r="H301" s="2012"/>
      <c r="I301" s="1163" t="s">
        <v>1289</v>
      </c>
      <c r="J301" s="1083"/>
      <c r="K301" s="2012"/>
      <c r="L301" s="726"/>
      <c r="M301" s="853"/>
      <c r="N301" s="846"/>
      <c r="O301" s="2136"/>
      <c r="P301" s="2136"/>
      <c r="AH301" s="2143">
        <v>0</v>
      </c>
    </row>
    <row s="50801" customFormat="1" customHeight="1" ht="0.75" hidden="1">
      <c r="A302" s="2292"/>
      <c r="B302" s="2292"/>
      <c r="C302" s="881" t="s">
        <v>1297</v>
      </c>
      <c r="D302" s="2974"/>
      <c r="E302" s="2716"/>
      <c r="F302" s="2895"/>
      <c r="G302" s="912"/>
      <c r="H302" s="2012"/>
      <c r="I302" s="1163"/>
      <c r="J302" s="1083"/>
      <c r="K302" s="2012"/>
      <c r="L302" s="726"/>
      <c r="M302" s="853"/>
      <c r="N302" s="846"/>
      <c r="O302" s="2136"/>
      <c r="P302" s="2136"/>
      <c r="AH302" s="2143">
        <v>0</v>
      </c>
    </row>
    <row s="50801" customFormat="1" customHeight="1" ht="18.75" hidden="1">
      <c r="A303" s="2292" t="s">
        <v>374</v>
      </c>
      <c r="B303" s="2292" t="s">
        <v>375</v>
      </c>
      <c r="C303" s="881"/>
      <c r="D303" s="2974"/>
      <c r="E303" s="2716"/>
      <c r="F303" s="2895" t="str">
        <f>INDEX(PT_DIFFERENTIATION_VTAR,MATCH(A303,PT_DIFFERENTIATION_VTAR_ID,0))</f>
        <v>Тариф на транспортировку воды</v>
      </c>
      <c r="G303" s="2939" t="str">
        <f>INDEX(PT_DIFFERENTIATION_NTAR,MATCH(B303,PT_DIFFERENTIATION_NTAR_ID,0))</f>
        <v/>
      </c>
      <c r="H303" s="2374"/>
      <c r="I303" s="2251"/>
      <c r="J303" s="2285"/>
      <c r="K303" s="2290"/>
      <c r="L303" s="2374" t="s">
        <v>445</v>
      </c>
      <c r="M303" s="853"/>
      <c r="N303" s="846"/>
      <c r="O303" s="2136"/>
      <c r="P303" s="2136"/>
      <c r="AH303" s="2143">
        <v>0</v>
      </c>
    </row>
    <row s="50801" customFormat="1" customHeight="1" ht="18.75" hidden="1">
      <c r="A304" s="2292"/>
      <c r="B304" s="2292"/>
      <c r="C304" s="881" t="s">
        <v>1290</v>
      </c>
      <c r="D304" s="2974"/>
      <c r="E304" s="2716"/>
      <c r="F304" s="2895"/>
      <c r="G304" s="2939"/>
      <c r="H304" s="2012"/>
      <c r="I304" s="1163" t="s">
        <v>1289</v>
      </c>
      <c r="J304" s="1083"/>
      <c r="K304" s="2012"/>
      <c r="L304" s="726"/>
      <c r="M304" s="853"/>
      <c r="N304" s="846"/>
      <c r="O304" s="2136"/>
      <c r="P304" s="2136"/>
      <c r="AH304" s="2143">
        <v>0</v>
      </c>
    </row>
    <row s="50801" customFormat="1" customHeight="1" ht="0.75" hidden="1">
      <c r="A305" s="2292"/>
      <c r="B305" s="2292"/>
      <c r="C305" s="881" t="s">
        <v>1297</v>
      </c>
      <c r="D305" s="2974"/>
      <c r="E305" s="2716"/>
      <c r="F305" s="2895"/>
      <c r="G305" s="912"/>
      <c r="H305" s="2012"/>
      <c r="I305" s="1163"/>
      <c r="J305" s="1083"/>
      <c r="K305" s="2012"/>
      <c r="L305" s="726"/>
      <c r="M305" s="853"/>
      <c r="N305" s="846"/>
      <c r="O305" s="2136"/>
      <c r="P305" s="2136"/>
      <c r="AH305" s="2143">
        <v>0</v>
      </c>
    </row>
    <row s="50801" customFormat="1" customHeight="1" ht="18.75" hidden="1">
      <c r="A306" s="2292" t="s">
        <v>379</v>
      </c>
      <c r="B306" s="2292" t="s">
        <v>380</v>
      </c>
      <c r="C306" s="881"/>
      <c r="D306" s="2974"/>
      <c r="E306" s="2716"/>
      <c r="F306" s="2895" t="str">
        <f>INDEX(PT_DIFFERENTIATION_VTAR,MATCH(A306,PT_DIFFERENTIATION_VTAR_ID,0))</f>
        <v>Тариф на подвоз воды</v>
      </c>
      <c r="G306" s="2939" t="str">
        <f>INDEX(PT_DIFFERENTIATION_NTAR,MATCH(B306,PT_DIFFERENTIATION_NTAR_ID,0))</f>
        <v/>
      </c>
      <c r="H306" s="2374"/>
      <c r="I306" s="2251"/>
      <c r="J306" s="2285"/>
      <c r="K306" s="2290"/>
      <c r="L306" s="2374" t="s">
        <v>445</v>
      </c>
      <c r="M306" s="853"/>
      <c r="N306" s="846"/>
      <c r="O306" s="2136"/>
      <c r="P306" s="2136"/>
      <c r="AH306" s="2143">
        <v>0</v>
      </c>
    </row>
    <row s="50801" customFormat="1" customHeight="1" ht="18.75" hidden="1">
      <c r="A307" s="2292"/>
      <c r="B307" s="2292"/>
      <c r="C307" s="881" t="s">
        <v>1290</v>
      </c>
      <c r="D307" s="2974"/>
      <c r="E307" s="2716"/>
      <c r="F307" s="2895"/>
      <c r="G307" s="2939"/>
      <c r="H307" s="2012"/>
      <c r="I307" s="1163" t="s">
        <v>1289</v>
      </c>
      <c r="J307" s="1083"/>
      <c r="K307" s="2012"/>
      <c r="L307" s="726"/>
      <c r="M307" s="853"/>
      <c r="N307" s="846"/>
      <c r="O307" s="2136"/>
      <c r="P307" s="2136"/>
      <c r="AH307" s="2143">
        <v>0</v>
      </c>
    </row>
    <row s="50801" customFormat="1" customHeight="1" ht="0.75" hidden="1">
      <c r="A308" s="2292"/>
      <c r="B308" s="2292"/>
      <c r="C308" s="881" t="s">
        <v>1297</v>
      </c>
      <c r="D308" s="2974"/>
      <c r="E308" s="2716"/>
      <c r="F308" s="2895"/>
      <c r="G308" s="912"/>
      <c r="H308" s="2012"/>
      <c r="I308" s="1163"/>
      <c r="J308" s="1083"/>
      <c r="K308" s="2012"/>
      <c r="L308" s="726"/>
      <c r="M308" s="853"/>
      <c r="N308" s="846"/>
      <c r="O308" s="2136"/>
      <c r="P308" s="2136"/>
      <c r="AH308" s="2143">
        <v>0</v>
      </c>
    </row>
    <row s="50801" customFormat="1" customHeight="1" ht="18.75" hidden="1">
      <c r="A309" s="2292" t="s">
        <v>384</v>
      </c>
      <c r="B309" s="2292" t="s">
        <v>385</v>
      </c>
      <c r="C309" s="881"/>
      <c r="D309" s="2974"/>
      <c r="E309" s="2716"/>
      <c r="F309" s="28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9" t="str">
        <f>INDEX(PT_DIFFERENTIATION_NTAR,MATCH(B309,PT_DIFFERENTIATION_NTAR_ID,0))</f>
        <v/>
      </c>
      <c r="H309" s="2374"/>
      <c r="I309" s="2251"/>
      <c r="J309" s="2285"/>
      <c r="K309" s="2290"/>
      <c r="L309" s="2374" t="s">
        <v>445</v>
      </c>
      <c r="M309" s="853"/>
      <c r="N309" s="846"/>
      <c r="O309" s="2136"/>
      <c r="P309" s="2136"/>
      <c r="AH309" s="2143">
        <v>0</v>
      </c>
    </row>
    <row s="50801" customFormat="1" customHeight="1" ht="18.75" hidden="1">
      <c r="A310" s="2292"/>
      <c r="B310" s="2292"/>
      <c r="C310" s="881" t="s">
        <v>1290</v>
      </c>
      <c r="D310" s="2974"/>
      <c r="E310" s="2716"/>
      <c r="F310" s="2895"/>
      <c r="G310" s="2939"/>
      <c r="H310" s="2012"/>
      <c r="I310" s="1163" t="s">
        <v>1289</v>
      </c>
      <c r="J310" s="1083"/>
      <c r="K310" s="2012"/>
      <c r="L310" s="726"/>
      <c r="M310" s="853"/>
      <c r="N310" s="846"/>
      <c r="O310" s="2136"/>
      <c r="P310" s="2136"/>
      <c r="AH310" s="2143">
        <v>0</v>
      </c>
    </row>
    <row s="50801" customFormat="1" customHeight="1" ht="0.75" hidden="1">
      <c r="A311" s="2292"/>
      <c r="B311" s="2292"/>
      <c r="C311" s="881" t="s">
        <v>1297</v>
      </c>
      <c r="D311" s="2974"/>
      <c r="E311" s="2716"/>
      <c r="F311" s="2895"/>
      <c r="G311" s="912"/>
      <c r="H311" s="2012"/>
      <c r="I311" s="1163"/>
      <c r="J311" s="1083"/>
      <c r="K311" s="2012"/>
      <c r="L311" s="726"/>
      <c r="M311" s="853"/>
      <c r="N311" s="846"/>
      <c r="O311" s="2136"/>
      <c r="P311" s="2136"/>
      <c r="AH311" s="2143">
        <v>0</v>
      </c>
    </row>
    <row s="50801" customFormat="1" customHeight="1" ht="18.75" hidden="1">
      <c r="A312" s="2292" t="s">
        <v>389</v>
      </c>
      <c r="B312" s="2292" t="s">
        <v>390</v>
      </c>
      <c r="C312" s="881"/>
      <c r="D312" s="2974"/>
      <c r="E312" s="2716"/>
      <c r="F312" s="2895" t="str">
        <f>INDEX(PT_DIFFERENTIATION_VTAR,MATCH(A312,PT_DIFFERENTIATION_VTAR_ID,0))</f>
        <v>Тариф на горячую воду (горячее водоснабжение)</v>
      </c>
      <c r="G312" s="2939" t="str">
        <f>INDEX(PT_DIFFERENTIATION_NTAR,MATCH(B312,PT_DIFFERENTIATION_NTAR_ID,0))</f>
        <v/>
      </c>
      <c r="H312" s="2374"/>
      <c r="I312" s="2251"/>
      <c r="J312" s="2285"/>
      <c r="K312" s="2290"/>
      <c r="L312" s="2374" t="s">
        <v>445</v>
      </c>
      <c r="M312" s="853"/>
      <c r="N312" s="846"/>
      <c r="O312" s="2136"/>
      <c r="P312" s="2136"/>
      <c r="AH312" s="2143">
        <v>0</v>
      </c>
    </row>
    <row s="50801" customFormat="1" customHeight="1" ht="18.75" hidden="1">
      <c r="A313" s="2292"/>
      <c r="B313" s="2292"/>
      <c r="C313" s="881" t="s">
        <v>1290</v>
      </c>
      <c r="D313" s="2974"/>
      <c r="E313" s="2716"/>
      <c r="F313" s="2895"/>
      <c r="G313" s="2939"/>
      <c r="H313" s="2012"/>
      <c r="I313" s="1163" t="s">
        <v>1289</v>
      </c>
      <c r="J313" s="1083"/>
      <c r="K313" s="2012"/>
      <c r="L313" s="726"/>
      <c r="M313" s="853"/>
      <c r="N313" s="846"/>
      <c r="O313" s="2136"/>
      <c r="P313" s="2136"/>
      <c r="AH313" s="2143">
        <v>0</v>
      </c>
    </row>
    <row s="50801" customFormat="1" customHeight="1" ht="0.75" hidden="1">
      <c r="A314" s="2292"/>
      <c r="B314" s="2292"/>
      <c r="C314" s="881" t="s">
        <v>1297</v>
      </c>
      <c r="D314" s="2974"/>
      <c r="E314" s="2716"/>
      <c r="F314" s="2895"/>
      <c r="G314" s="912"/>
      <c r="H314" s="2012"/>
      <c r="I314" s="1163"/>
      <c r="J314" s="1083"/>
      <c r="K314" s="2012"/>
      <c r="L314" s="726"/>
      <c r="M314" s="853"/>
      <c r="N314" s="846"/>
      <c r="O314" s="2136"/>
      <c r="P314" s="2136"/>
      <c r="AH314" s="2143">
        <v>0</v>
      </c>
    </row>
    <row s="50801" customFormat="1" customHeight="1" ht="18.75" hidden="1">
      <c r="A315" s="2292" t="s">
        <v>394</v>
      </c>
      <c r="B315" s="2292" t="s">
        <v>395</v>
      </c>
      <c r="C315" s="881"/>
      <c r="D315" s="2974"/>
      <c r="E315" s="2716"/>
      <c r="F315" s="2895" t="str">
        <f>INDEX(PT_DIFFERENTIATION_VTAR,MATCH(A315,PT_DIFFERENTIATION_VTAR_ID,0))</f>
        <v>Тариф на транспортировку горячей воды</v>
      </c>
      <c r="G315" s="2939" t="str">
        <f>INDEX(PT_DIFFERENTIATION_NTAR,MATCH(B315,PT_DIFFERENTIATION_NTAR_ID,0))</f>
        <v/>
      </c>
      <c r="H315" s="2374"/>
      <c r="I315" s="2251"/>
      <c r="J315" s="2285"/>
      <c r="K315" s="2290"/>
      <c r="L315" s="2374" t="s">
        <v>445</v>
      </c>
      <c r="M315" s="853"/>
      <c r="N315" s="846"/>
      <c r="O315" s="2136"/>
      <c r="P315" s="2136"/>
      <c r="AH315" s="2143">
        <v>0</v>
      </c>
    </row>
    <row s="50801" customFormat="1" customHeight="1" ht="18.75" hidden="1">
      <c r="A316" s="2292"/>
      <c r="B316" s="2292"/>
      <c r="C316" s="881" t="s">
        <v>1290</v>
      </c>
      <c r="D316" s="2974"/>
      <c r="E316" s="2716"/>
      <c r="F316" s="2895"/>
      <c r="G316" s="2939"/>
      <c r="H316" s="2012"/>
      <c r="I316" s="1163" t="s">
        <v>1289</v>
      </c>
      <c r="J316" s="1083"/>
      <c r="K316" s="2012"/>
      <c r="L316" s="726"/>
      <c r="M316" s="853"/>
      <c r="N316" s="846"/>
      <c r="O316" s="2136"/>
      <c r="P316" s="2136"/>
      <c r="AH316" s="2143">
        <v>0</v>
      </c>
    </row>
    <row s="50801" customFormat="1" customHeight="1" ht="0.75" hidden="1">
      <c r="A317" s="2292"/>
      <c r="B317" s="2292"/>
      <c r="C317" s="881" t="s">
        <v>1297</v>
      </c>
      <c r="D317" s="2974"/>
      <c r="E317" s="2716"/>
      <c r="F317" s="2895"/>
      <c r="G317" s="912"/>
      <c r="H317" s="2012"/>
      <c r="I317" s="1163"/>
      <c r="J317" s="1083"/>
      <c r="K317" s="2012"/>
      <c r="L317" s="726"/>
      <c r="M317" s="853"/>
      <c r="N317" s="846"/>
      <c r="O317" s="2136"/>
      <c r="P317" s="2136"/>
      <c r="AH317" s="2143">
        <v>0</v>
      </c>
    </row>
    <row s="50801" customFormat="1" customHeight="1" ht="18.75" hidden="1">
      <c r="A318" s="2292" t="s">
        <v>399</v>
      </c>
      <c r="B318" s="2292" t="s">
        <v>400</v>
      </c>
      <c r="C318" s="881"/>
      <c r="D318" s="2974"/>
      <c r="E318" s="2716"/>
      <c r="F318" s="28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9" t="str">
        <f>INDEX(PT_DIFFERENTIATION_NTAR,MATCH(B318,PT_DIFFERENTIATION_NTAR_ID,0))</f>
        <v/>
      </c>
      <c r="H318" s="2374"/>
      <c r="I318" s="2251"/>
      <c r="J318" s="2285"/>
      <c r="K318" s="2290"/>
      <c r="L318" s="2374" t="s">
        <v>445</v>
      </c>
      <c r="M318" s="853"/>
      <c r="N318" s="846"/>
      <c r="O318" s="2136"/>
      <c r="P318" s="2136"/>
      <c r="AH318" s="2143">
        <v>0</v>
      </c>
    </row>
    <row s="50801" customFormat="1" customHeight="1" ht="18.75" hidden="1">
      <c r="A319" s="2292"/>
      <c r="B319" s="2292"/>
      <c r="C319" s="881" t="s">
        <v>1290</v>
      </c>
      <c r="D319" s="2974"/>
      <c r="E319" s="2716"/>
      <c r="F319" s="2895"/>
      <c r="G319" s="2939"/>
      <c r="H319" s="2012"/>
      <c r="I319" s="1163" t="s">
        <v>1289</v>
      </c>
      <c r="J319" s="1083"/>
      <c r="K319" s="2012"/>
      <c r="L319" s="726"/>
      <c r="M319" s="853"/>
      <c r="N319" s="846"/>
      <c r="O319" s="2136"/>
      <c r="P319" s="2136"/>
      <c r="AH319" s="2143">
        <v>0</v>
      </c>
    </row>
    <row s="50801" customFormat="1" customHeight="1" ht="0.75" hidden="1">
      <c r="A320" s="2292"/>
      <c r="B320" s="2292"/>
      <c r="C320" s="881" t="s">
        <v>1297</v>
      </c>
      <c r="D320" s="2974"/>
      <c r="E320" s="2716"/>
      <c r="F320" s="2895"/>
      <c r="G320" s="912"/>
      <c r="H320" s="2012"/>
      <c r="I320" s="1163"/>
      <c r="J320" s="1083"/>
      <c r="K320" s="2012"/>
      <c r="L320" s="726"/>
      <c r="M320" s="853"/>
      <c r="N320" s="846"/>
      <c r="O320" s="2136"/>
      <c r="P320" s="2136"/>
      <c r="AH320" s="2143">
        <v>0</v>
      </c>
    </row>
    <row s="50801" customFormat="1" customHeight="1" ht="18.75" hidden="1">
      <c r="A321" s="2292" t="s">
        <v>404</v>
      </c>
      <c r="B321" s="2292" t="s">
        <v>405</v>
      </c>
      <c r="C321" s="881"/>
      <c r="D321" s="2974"/>
      <c r="E321" s="2716"/>
      <c r="F321" s="2895" t="str">
        <f>INDEX(PT_DIFFERENTIATION_VTAR,MATCH(A321,PT_DIFFERENTIATION_VTAR_ID,0))</f>
        <v>Тариф на водоотведение</v>
      </c>
      <c r="G321" s="2939" t="str">
        <f>INDEX(PT_DIFFERENTIATION_NTAR,MATCH(B321,PT_DIFFERENTIATION_NTAR_ID,0))</f>
        <v/>
      </c>
      <c r="H321" s="2374"/>
      <c r="I321" s="2251"/>
      <c r="J321" s="2285"/>
      <c r="K321" s="2290"/>
      <c r="L321" s="2374" t="s">
        <v>445</v>
      </c>
      <c r="M321" s="853"/>
      <c r="N321" s="846"/>
      <c r="O321" s="2136"/>
      <c r="P321" s="2136"/>
      <c r="AH321" s="2143">
        <v>0</v>
      </c>
    </row>
    <row s="50801" customFormat="1" customHeight="1" ht="18.75" hidden="1">
      <c r="A322" s="2292"/>
      <c r="B322" s="2292"/>
      <c r="C322" s="881" t="s">
        <v>1290</v>
      </c>
      <c r="D322" s="2974"/>
      <c r="E322" s="2716"/>
      <c r="F322" s="2895"/>
      <c r="G322" s="2939"/>
      <c r="H322" s="2012"/>
      <c r="I322" s="1163" t="s">
        <v>1289</v>
      </c>
      <c r="J322" s="1083"/>
      <c r="K322" s="2012"/>
      <c r="L322" s="726"/>
      <c r="M322" s="853"/>
      <c r="N322" s="846"/>
      <c r="O322" s="2136"/>
      <c r="P322" s="2136"/>
      <c r="AH322" s="2143">
        <v>0</v>
      </c>
    </row>
    <row s="50801" customFormat="1" customHeight="1" ht="0.75" hidden="1">
      <c r="A323" s="2292"/>
      <c r="B323" s="2292"/>
      <c r="C323" s="881" t="s">
        <v>1297</v>
      </c>
      <c r="D323" s="2974"/>
      <c r="E323" s="2716"/>
      <c r="F323" s="2895"/>
      <c r="G323" s="912"/>
      <c r="H323" s="2012"/>
      <c r="I323" s="1163"/>
      <c r="J323" s="1083"/>
      <c r="K323" s="2012"/>
      <c r="L323" s="726"/>
      <c r="M323" s="853"/>
      <c r="N323" s="846"/>
      <c r="O323" s="2136"/>
      <c r="P323" s="2136"/>
      <c r="AH323" s="2143">
        <v>0</v>
      </c>
    </row>
    <row s="50801" customFormat="1" customHeight="1" ht="18.75" hidden="1">
      <c r="A324" s="2292" t="s">
        <v>409</v>
      </c>
      <c r="B324" s="2292" t="s">
        <v>410</v>
      </c>
      <c r="C324" s="881"/>
      <c r="D324" s="2974"/>
      <c r="E324" s="2716"/>
      <c r="F324" s="2895" t="str">
        <f>INDEX(PT_DIFFERENTIATION_VTAR,MATCH(A324,PT_DIFFERENTIATION_VTAR_ID,0))</f>
        <v>Тариф на транспортировку сточных вод</v>
      </c>
      <c r="G324" s="2939" t="str">
        <f>INDEX(PT_DIFFERENTIATION_NTAR,MATCH(B324,PT_DIFFERENTIATION_NTAR_ID,0))</f>
        <v/>
      </c>
      <c r="H324" s="2374"/>
      <c r="I324" s="2251"/>
      <c r="J324" s="2285"/>
      <c r="K324" s="2290"/>
      <c r="L324" s="2374" t="s">
        <v>445</v>
      </c>
      <c r="M324" s="853"/>
      <c r="N324" s="846"/>
      <c r="O324" s="2136"/>
      <c r="P324" s="2136"/>
      <c r="AH324" s="2143">
        <v>0</v>
      </c>
    </row>
    <row s="50801" customFormat="1" customHeight="1" ht="18.75" hidden="1">
      <c r="A325" s="2292"/>
      <c r="B325" s="2292"/>
      <c r="C325" s="881" t="s">
        <v>1290</v>
      </c>
      <c r="D325" s="2974"/>
      <c r="E325" s="2716"/>
      <c r="F325" s="2895"/>
      <c r="G325" s="2939"/>
      <c r="H325" s="2012"/>
      <c r="I325" s="1163" t="s">
        <v>1289</v>
      </c>
      <c r="J325" s="1083"/>
      <c r="K325" s="2012"/>
      <c r="L325" s="726"/>
      <c r="M325" s="853"/>
      <c r="N325" s="846"/>
      <c r="O325" s="2136"/>
      <c r="P325" s="2136"/>
      <c r="AH325" s="2143">
        <v>0</v>
      </c>
    </row>
    <row s="50801" customFormat="1" customHeight="1" ht="0.75" hidden="1">
      <c r="A326" s="2292"/>
      <c r="B326" s="2292"/>
      <c r="C326" s="881" t="s">
        <v>1297</v>
      </c>
      <c r="D326" s="2974"/>
      <c r="E326" s="2716"/>
      <c r="F326" s="2895"/>
      <c r="G326" s="912"/>
      <c r="H326" s="2012"/>
      <c r="I326" s="1163"/>
      <c r="J326" s="1083"/>
      <c r="K326" s="2012"/>
      <c r="L326" s="726"/>
      <c r="M326" s="853"/>
      <c r="N326" s="846"/>
      <c r="O326" s="2136"/>
      <c r="P326" s="2136"/>
      <c r="AH326" s="2143">
        <v>0</v>
      </c>
    </row>
    <row s="50801" customFormat="1" customHeight="1" ht="18.75" hidden="1">
      <c r="A327" s="2292" t="s">
        <v>414</v>
      </c>
      <c r="B327" s="2292" t="s">
        <v>415</v>
      </c>
      <c r="C327" s="881"/>
      <c r="D327" s="2974"/>
      <c r="E327" s="2716"/>
      <c r="F327" s="2895" t="str">
        <f>INDEX(PT_DIFFERENTIATION_VTAR,MATCH(A327,PT_DIFFERENTIATION_VTAR_ID,0))</f>
        <v>Тариф на подключение (технологическое присоединение) к централизованной системе водоотведения</v>
      </c>
      <c r="G327" s="2939" t="str">
        <f>INDEX(PT_DIFFERENTIATION_NTAR,MATCH(B327,PT_DIFFERENTIATION_NTAR_ID,0))</f>
        <v/>
      </c>
      <c r="H327" s="2374"/>
      <c r="I327" s="2251"/>
      <c r="J327" s="2285"/>
      <c r="K327" s="2290"/>
      <c r="L327" s="2374" t="s">
        <v>445</v>
      </c>
      <c r="M327" s="853"/>
      <c r="N327" s="846"/>
      <c r="O327" s="2136"/>
      <c r="P327" s="2136"/>
      <c r="AH327" s="2143">
        <v>0</v>
      </c>
    </row>
    <row s="50801" customFormat="1" customHeight="1" ht="18.75" hidden="1">
      <c r="A328" s="2292"/>
      <c r="B328" s="2292"/>
      <c r="C328" s="881" t="s">
        <v>1290</v>
      </c>
      <c r="D328" s="2974"/>
      <c r="E328" s="2716"/>
      <c r="F328" s="2895"/>
      <c r="G328" s="2939"/>
      <c r="H328" s="2012"/>
      <c r="I328" s="1163" t="s">
        <v>1289</v>
      </c>
      <c r="J328" s="1083"/>
      <c r="K328" s="2012"/>
      <c r="L328" s="726"/>
      <c r="M328" s="853"/>
      <c r="N328" s="846"/>
      <c r="O328" s="2136"/>
      <c r="P328" s="2136"/>
      <c r="AH328" s="2143">
        <v>0</v>
      </c>
    </row>
    <row s="50801" customFormat="1" customHeight="1" ht="1.05">
      <c r="A329" s="2292"/>
      <c r="B329" s="2292"/>
      <c r="C329" s="881" t="s">
        <v>1297</v>
      </c>
      <c r="D329" s="2974"/>
      <c r="E329" s="2716"/>
      <c r="F329" s="2895"/>
      <c r="G329" s="912"/>
      <c r="H329" s="2012"/>
      <c r="I329" s="1163"/>
      <c r="J329" s="1083"/>
      <c r="K329" s="2012"/>
      <c r="L329" s="726"/>
      <c r="M329" s="853"/>
      <c r="N329" s="846"/>
      <c r="O329" s="2136"/>
      <c r="P329" s="2136"/>
      <c r="AH329" s="2143">
        <v>1</v>
      </c>
    </row>
    <row s="60860" customFormat="1" customHeight="1" ht="3">
      <c r="A330" s="2292"/>
      <c r="B330" s="2292"/>
      <c r="C330" s="2293"/>
      <c r="E330" s="914"/>
      <c r="F330" s="914"/>
      <c r="G330" s="914"/>
      <c r="H330" s="914"/>
      <c r="I330" s="914"/>
      <c r="J330" s="914"/>
      <c r="K330" s="914"/>
      <c r="L330" s="914"/>
      <c r="M330" s="914"/>
      <c r="O330" s="708"/>
      <c r="P330" s="708"/>
      <c r="AH330" s="652">
        <v>3</v>
      </c>
    </row>
    <row customHeight="1" ht="26.25">
      <c r="E331" s="714"/>
      <c r="F331" s="2797"/>
      <c r="G331" s="2797"/>
      <c r="H331" s="2797"/>
      <c r="I331" s="2797"/>
      <c r="J331" s="2797"/>
      <c r="K331" s="2797"/>
      <c r="L331" s="2797"/>
      <c r="M331" s="2797"/>
      <c r="AH331" s="886">
        <v>25</v>
      </c>
    </row>
    <row customHeight="1" ht="14.25" hidden="1">
      <c r="A332" s="2291" t="s">
        <v>84</v>
      </c>
      <c r="B332" s="2291">
        <v>0</v>
      </c>
      <c r="C332" s="881">
        <v>0</v>
      </c>
      <c r="D332" s="856">
        <v>3</v>
      </c>
      <c r="E332" s="886">
        <v>6</v>
      </c>
      <c r="F332" s="886">
        <v>46</v>
      </c>
      <c r="G332" s="886">
        <v>35</v>
      </c>
      <c r="H332" s="886">
        <v>3</v>
      </c>
      <c r="I332" s="886">
        <v>11</v>
      </c>
      <c r="J332" s="886">
        <v>11</v>
      </c>
      <c r="K332" s="886">
        <v>35</v>
      </c>
      <c r="L332" s="886">
        <v>35</v>
      </c>
      <c r="M332" s="886">
        <v>84</v>
      </c>
      <c r="N332" s="886">
        <v>10</v>
      </c>
      <c r="O332" s="862">
        <v>10</v>
      </c>
      <c r="P332" s="862">
        <v>10</v>
      </c>
      <c r="Q332" s="886">
        <v>10</v>
      </c>
      <c r="R332" s="886">
        <v>10</v>
      </c>
      <c r="S332" s="886">
        <v>10</v>
      </c>
      <c r="T332" s="886">
        <v>10</v>
      </c>
      <c r="U332" s="886">
        <v>10</v>
      </c>
      <c r="V332" s="886">
        <v>10</v>
      </c>
      <c r="W332" s="886">
        <v>10</v>
      </c>
      <c r="X332" s="886">
        <v>10</v>
      </c>
      <c r="Y332" s="886">
        <v>10</v>
      </c>
      <c r="Z332" s="886">
        <v>10</v>
      </c>
      <c r="AA332" s="886">
        <v>10</v>
      </c>
      <c r="AB332" s="886">
        <v>10</v>
      </c>
      <c r="AC332" s="886">
        <v>10</v>
      </c>
      <c r="AD332" s="886">
        <v>10</v>
      </c>
      <c r="AE332" s="886">
        <v>10</v>
      </c>
      <c r="AF332" s="886">
        <v>10</v>
      </c>
      <c r="AG332" s="886">
        <v>10</v>
      </c>
      <c r="AH332" s="88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6D917-D3FF-A9C7-4837-D3A29DD4DA25}"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51808" width="9.140625" hidden="1" customWidth="1"/>
    <col min="2" max="2" style="50881" width="9.140625" hidden="1" customWidth="1"/>
    <col min="3" max="3" style="51809" width="3.00390625" customWidth="1"/>
    <col min="4" max="4" style="50801" width="6.00390625" customWidth="1"/>
    <col min="5" max="5" style="50801" width="53.00390625" customWidth="1"/>
    <col min="6" max="7" style="50801" width="35.00390625" customWidth="1"/>
    <col min="8" max="8" style="50801" width="89.00390625" customWidth="1"/>
    <col min="9" max="9" style="50801" width="10.00390625" customWidth="1"/>
    <col min="10" max="11" style="50981" width="10.00390625" customWidth="1"/>
    <col min="12" max="17" style="50801" width="10.00390625" customWidth="1"/>
    <col min="18" max="18" style="50801" width="10.57421875" hidden="1"/>
  </cols>
  <sheetData>
    <row customHeight="1" ht="22.5" hidden="1">
      <c r="N1" s="767"/>
      <c r="O1" s="767"/>
      <c r="Q1" s="767"/>
      <c r="R1" s="886" t="s">
        <v>14</v>
      </c>
    </row>
    <row s="50801" customFormat="1" customHeight="1" ht="18.75" hidden="1">
      <c r="A2" s="614"/>
      <c r="B2" s="1672"/>
      <c r="C2" s="2242" t="s">
        <v>106</v>
      </c>
      <c r="D2" s="2185"/>
      <c r="E2" s="2194"/>
      <c r="F2" s="769"/>
      <c r="G2" s="1673"/>
      <c r="H2" s="886"/>
      <c r="I2" s="2136"/>
      <c r="J2" s="2136"/>
      <c r="R2" s="2143">
        <v>0</v>
      </c>
    </row>
    <row customHeight="1" ht="14.25" hidden="1">
      <c r="R3" s="886">
        <v>0</v>
      </c>
    </row>
    <row customHeight="1" ht="6.3">
      <c r="C4" s="888"/>
      <c r="D4" s="875"/>
      <c r="E4" s="875"/>
      <c r="F4" s="875"/>
      <c r="G4" s="597"/>
      <c r="H4" s="597"/>
      <c r="R4" s="886">
        <v>6</v>
      </c>
    </row>
    <row customHeight="1" ht="34.5">
      <c r="C5" s="888"/>
      <c r="D5" s="296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967"/>
      <c r="F5" s="2967"/>
      <c r="G5" s="2968"/>
      <c r="H5" s="778"/>
      <c r="R5" s="886">
        <v>33</v>
      </c>
    </row>
    <row s="50801" customFormat="1" customHeight="1" ht="18">
      <c r="A6" s="2181"/>
      <c r="B6" s="1672"/>
      <c r="C6" s="888"/>
      <c r="D6" s="2969" t="str">
        <f>IF(org=0,"Не определено",org)</f>
        <v>КГУП "Примтеплоэнерго"</v>
      </c>
      <c r="E6" s="2970"/>
      <c r="F6" s="2970"/>
      <c r="G6" s="2971"/>
      <c r="H6" s="778"/>
      <c r="J6" s="2136"/>
      <c r="K6" s="2136"/>
      <c r="R6" s="2143">
        <v>17</v>
      </c>
    </row>
    <row customHeight="1" ht="14.699999999999998">
      <c r="C7" s="888"/>
      <c r="D7" s="875"/>
      <c r="E7" s="901"/>
      <c r="F7" s="901"/>
      <c r="G7" s="1264"/>
      <c r="H7" s="705"/>
      <c r="R7" s="886">
        <v>14</v>
      </c>
    </row>
    <row customHeight="1" ht="14.699999999999998">
      <c r="C8" s="888"/>
      <c r="D8" s="2721" t="s">
        <v>439</v>
      </c>
      <c r="E8" s="2721"/>
      <c r="F8" s="2721"/>
      <c r="G8" s="2721"/>
      <c r="H8" s="2901" t="s">
        <v>440</v>
      </c>
      <c r="R8" s="886">
        <v>14</v>
      </c>
    </row>
    <row customHeight="1" ht="24">
      <c r="C9" s="888"/>
      <c r="D9" s="898" t="s">
        <v>90</v>
      </c>
      <c r="E9" s="620" t="s">
        <v>441</v>
      </c>
      <c r="F9" s="620" t="s">
        <v>442</v>
      </c>
      <c r="G9" s="620" t="s">
        <v>529</v>
      </c>
      <c r="H9" s="2901"/>
      <c r="R9" s="886">
        <v>23</v>
      </c>
    </row>
    <row customHeight="1" ht="14.699999999999998">
      <c r="A10" s="855"/>
      <c r="C10" s="888"/>
      <c r="D10" s="659" t="s">
        <v>101</v>
      </c>
      <c r="E10" s="23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769"/>
      <c r="G10" s="725"/>
      <c r="H10" s="2681" t="s">
        <v>1298</v>
      </c>
      <c r="R10" s="886">
        <v>14</v>
      </c>
    </row>
    <row customHeight="1" ht="14.699999999999998">
      <c r="A11" s="855"/>
      <c r="C11" s="888"/>
      <c r="D11" s="659" t="s">
        <v>105</v>
      </c>
      <c r="E11" s="23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769"/>
      <c r="G11" s="725"/>
      <c r="H11" s="2682"/>
      <c r="R11" s="886">
        <v>14</v>
      </c>
    </row>
    <row customHeight="1" ht="14.699999999999998">
      <c r="A12" s="614"/>
      <c r="C12" s="899"/>
      <c r="D12" s="659" t="s">
        <v>92</v>
      </c>
      <c r="E12" s="900" t="str">
        <f>"Сведения о планировании закупочных процедур"&amp;IF(TEMPLATE_SPHERE="TKO"," &lt;1&gt;","")</f>
        <v>Сведения о планировании закупочных процедур</v>
      </c>
      <c r="F12" s="769"/>
      <c r="G12" s="725"/>
      <c r="H12" s="26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862"/>
      <c r="K12" s="886"/>
      <c r="R12" s="886">
        <v>14</v>
      </c>
    </row>
    <row customHeight="1" ht="14.699999999999998">
      <c r="A13" s="614"/>
      <c r="C13" s="899"/>
      <c r="D13" s="659" t="s">
        <v>93</v>
      </c>
      <c r="E13" s="900" t="str">
        <f>"Сведения о результатах проведения закупочных процедур"&amp;IF(TEMPLATE_SPHERE="TKO"," &lt;1&gt;","")</f>
        <v>Сведения о результатах проведения закупочных процедур</v>
      </c>
      <c r="F13" s="769"/>
      <c r="G13" s="725"/>
      <c r="H13" s="2682"/>
      <c r="I13" s="862"/>
      <c r="K13" s="886"/>
      <c r="R13" s="886">
        <v>14</v>
      </c>
    </row>
    <row customHeight="1" ht="14.699999999999998">
      <c r="A14" s="855"/>
      <c r="C14" s="888"/>
      <c r="D14" s="859"/>
      <c r="E14" s="907" t="s">
        <v>461</v>
      </c>
      <c r="F14" s="861"/>
      <c r="G14" s="713"/>
      <c r="H14" s="2683"/>
      <c r="R14" s="886">
        <v>14</v>
      </c>
    </row>
    <row s="50801" customFormat="1" customHeight="1" ht="14.699999999999998">
      <c r="A15" s="855"/>
      <c r="B15" s="1672"/>
      <c r="C15" s="888"/>
      <c r="D15" s="908"/>
      <c r="E15" s="2189"/>
      <c r="F15" s="2190"/>
      <c r="G15" s="2191"/>
      <c r="H15" s="2192"/>
      <c r="J15" s="2136"/>
      <c r="K15" s="2136"/>
      <c r="R15" s="2143">
        <v>14</v>
      </c>
    </row>
    <row customHeight="1" ht="14.699999999999998">
      <c r="D16" s="2193"/>
      <c r="E16" s="2897"/>
      <c r="F16" s="2897"/>
      <c r="G16" s="2897"/>
      <c r="H16" s="2897"/>
      <c r="R16" s="886">
        <v>14</v>
      </c>
    </row>
    <row customHeight="1" ht="22.5" hidden="1">
      <c r="A17" s="876" t="s">
        <v>84</v>
      </c>
      <c r="B17" s="658">
        <v>0</v>
      </c>
      <c r="C17" s="856">
        <v>3</v>
      </c>
      <c r="D17" s="886">
        <v>6</v>
      </c>
      <c r="E17" s="886">
        <v>53</v>
      </c>
      <c r="F17" s="886">
        <v>35</v>
      </c>
      <c r="G17" s="886">
        <v>35</v>
      </c>
      <c r="H17" s="886">
        <v>89</v>
      </c>
      <c r="I17" s="886">
        <v>10</v>
      </c>
      <c r="J17" s="862">
        <v>10</v>
      </c>
      <c r="K17" s="862">
        <v>10</v>
      </c>
      <c r="L17" s="886">
        <v>10</v>
      </c>
      <c r="M17" s="886">
        <v>10</v>
      </c>
      <c r="N17" s="886">
        <v>10</v>
      </c>
      <c r="O17" s="886">
        <v>10</v>
      </c>
      <c r="P17" s="886">
        <v>10</v>
      </c>
      <c r="Q17" s="886">
        <v>10</v>
      </c>
      <c r="R17" s="88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703BEB-E145-958E-AC99-FF386E0AF9A7}" mc:Ignorable="x14ac xr xr2 xr3">
  <sheetPr>
    <tabColor rgb="FFCCCCFF"/>
  </sheetPr>
  <dimension ref="A1:AR200"/>
  <sheetViews>
    <sheetView topLeftCell="C4" showGridLines="0" zoomScale="90" workbookViewId="0" tabSelected="1">
      <selection activeCell="G138" sqref="G138:G142"/>
    </sheetView>
  </sheetViews>
  <sheetFormatPr defaultColWidth="9.140625" customHeight="1" defaultRowHeight="11.25"/>
  <cols>
    <col min="1" max="2" style="50981" width="3.7109375" hidden="1" customWidth="1"/>
    <col min="3" max="3" style="51018" width="3.00390625" customWidth="1"/>
    <col min="4" max="4" style="51018" width="6.00390625" customWidth="1"/>
    <col min="5" max="5" style="51018" width="42.00390625" customWidth="1"/>
    <col min="6" max="6" style="51018" width="15.00390625" customWidth="1"/>
    <col min="7" max="7" style="51018" width="42.00390625" customWidth="1"/>
    <col min="8" max="8" style="51018" width="3.00390625" customWidth="1"/>
    <col min="9" max="9" style="51018" width="5.00390625" customWidth="1"/>
    <col min="10" max="10" style="51018" width="47.00390625" customWidth="1"/>
    <col min="11" max="12" style="51018" width="3.00390625" customWidth="1"/>
    <col min="13" max="13" style="51018" width="5.00390625" customWidth="1"/>
    <col min="14" max="14" style="51018" width="28.00390625" customWidth="1"/>
    <col min="15" max="16" style="51018" width="3.00390625" customWidth="1"/>
    <col min="17" max="17" style="51018" width="5.00390625" customWidth="1"/>
    <col min="18" max="18" style="51018" width="34.00390625" customWidth="1"/>
    <col min="19" max="20" style="51018" width="3.7109375" hidden="1" customWidth="1"/>
    <col min="21" max="21" style="51018" width="5.7109375" hidden="1" customWidth="1"/>
    <col min="22" max="22" style="51018" width="34.421875" hidden="1" customWidth="1"/>
    <col min="23" max="23" style="51018" width="30.00390625" customWidth="1"/>
    <col min="24" max="24" style="51018" width="3.00390625" customWidth="1"/>
    <col min="25" max="28" style="51070" width="9.8515625" hidden="1" customWidth="1"/>
    <col min="29" max="29" style="51070" width="27.00390625" hidden="1" customWidth="1"/>
    <col min="30" max="30" style="51070" width="10.57421875" hidden="1" customWidth="1"/>
    <col min="31" max="31" style="51070" width="10.7109375" hidden="1" customWidth="1"/>
    <col min="32" max="32" style="51070" width="10.00390625" hidden="1" customWidth="1"/>
    <col min="33" max="33" style="51070" width="12.8515625" hidden="1" customWidth="1"/>
    <col min="34" max="34" style="51070" width="24.421875" hidden="1" customWidth="1"/>
    <col min="35" max="35" style="51070" width="15.8515625" hidden="1" customWidth="1"/>
    <col min="36" max="36" style="51070" width="19.421875" hidden="1" customWidth="1"/>
    <col min="37" max="37" style="51070" width="11.00390625" hidden="1" customWidth="1"/>
    <col min="38" max="38" style="51070" width="23.57421875" hidden="1" customWidth="1"/>
    <col min="39" max="39" style="51070" width="23.8515625" hidden="1" customWidth="1"/>
    <col min="40" max="40" style="51070" width="25.28125" hidden="1" customWidth="1"/>
    <col min="41" max="41" style="51070" width="16.8515625" hidden="1" customWidth="1"/>
    <col min="42" max="42" style="51070" width="29.57421875" hidden="1" customWidth="1"/>
    <col min="43" max="43" style="51070" width="29.8515625" hidden="1" customWidth="1"/>
    <col min="44" max="44" style="51018" width="9.140625" hidden="1"/>
  </cols>
  <sheetData>
    <row customHeight="1" ht="11.25" hidden="1">
      <c r="A1" s="668"/>
      <c r="AR1" s="616" t="s">
        <v>14</v>
      </c>
    </row>
    <row customHeight="1" ht="11.25" hidden="1">
      <c r="AR2" s="616">
        <v>0</v>
      </c>
    </row>
    <row customHeight="1" ht="11.25" hidden="1">
      <c r="AR3" s="616">
        <v>0</v>
      </c>
    </row>
    <row customHeight="1" ht="3">
      <c r="AR4" s="616">
        <v>3</v>
      </c>
    </row>
    <row s="50989" customFormat="1" customHeight="1" ht="30.45">
      <c r="A5" s="666"/>
      <c r="B5" s="666"/>
      <c r="D5" s="26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70"/>
      <c r="F5" s="2670"/>
      <c r="G5" s="2670"/>
      <c r="H5" s="2670"/>
      <c r="I5" s="2670"/>
      <c r="J5" s="2671"/>
      <c r="K5" s="777"/>
      <c r="L5" s="654"/>
      <c r="M5" s="654"/>
      <c r="N5" s="654"/>
      <c r="O5" s="654"/>
      <c r="P5" s="654"/>
      <c r="Q5" s="654"/>
      <c r="R5" s="654"/>
      <c r="S5" s="802"/>
      <c r="T5" s="802"/>
      <c r="U5" s="802"/>
      <c r="V5" s="802"/>
      <c r="W5" s="654"/>
      <c r="Y5" s="1772"/>
      <c r="Z5" s="1772"/>
      <c r="AA5" s="1772"/>
      <c r="AB5" s="1772"/>
      <c r="AC5" s="1772"/>
      <c r="AD5" s="1772"/>
      <c r="AE5" s="1772"/>
      <c r="AF5" s="1772"/>
      <c r="AG5" s="1772"/>
      <c r="AH5" s="1772"/>
      <c r="AI5" s="1772"/>
      <c r="AJ5" s="1772"/>
      <c r="AK5" s="1772"/>
      <c r="AL5" s="1772"/>
      <c r="AM5" s="1772"/>
      <c r="AN5" s="1772"/>
      <c r="AO5" s="1772"/>
      <c r="AP5" s="1772"/>
      <c r="AQ5" s="1772"/>
      <c r="AR5" s="623">
        <v>29</v>
      </c>
    </row>
    <row s="50989" customFormat="1" customHeight="1" ht="14.699999999999998">
      <c r="A6" s="1097"/>
      <c r="B6" s="1097"/>
      <c r="C6" s="1097"/>
      <c r="D6" s="2675" t="str">
        <f>IF(org=0,"Не определено",org)</f>
        <v>КГУП "Примтеплоэнерго"</v>
      </c>
      <c r="E6" s="2675"/>
      <c r="F6" s="2675"/>
      <c r="G6" s="2675"/>
      <c r="H6" s="2675"/>
      <c r="I6" s="2675"/>
      <c r="J6" s="2675"/>
      <c r="K6" s="1098"/>
      <c r="L6" s="1098"/>
      <c r="M6" s="1098"/>
      <c r="N6" s="1098"/>
      <c r="O6" s="1382"/>
      <c r="P6" s="1382"/>
      <c r="Q6" s="1382"/>
      <c r="R6" s="1382"/>
      <c r="S6" s="1382"/>
      <c r="T6" s="1382"/>
      <c r="U6" s="1382"/>
      <c r="V6" s="1382"/>
      <c r="W6" s="1382"/>
      <c r="X6" s="1098"/>
      <c r="Y6" s="1773"/>
      <c r="Z6" s="1773"/>
      <c r="AA6" s="1773"/>
      <c r="AB6" s="1773"/>
      <c r="AC6" s="1773"/>
      <c r="AD6" s="1773"/>
      <c r="AE6" s="1773"/>
      <c r="AF6" s="1773"/>
      <c r="AG6" s="1773"/>
      <c r="AH6" s="1773"/>
      <c r="AI6" s="1773"/>
      <c r="AJ6" s="1773"/>
      <c r="AK6" s="1773"/>
      <c r="AL6" s="1773"/>
      <c r="AM6" s="1773"/>
      <c r="AN6" s="1773"/>
      <c r="AO6" s="1773"/>
      <c r="AP6" s="1773"/>
      <c r="AQ6" s="1773"/>
      <c r="AR6" s="1099">
        <v>14</v>
      </c>
    </row>
    <row s="51083" customFormat="1" customHeight="1" ht="11.549999999999999">
      <c r="A7" s="723"/>
      <c r="B7" s="723"/>
      <c r="D7" s="2672"/>
      <c r="E7" s="2673"/>
      <c r="F7" s="2673"/>
      <c r="G7" s="2673"/>
      <c r="H7" s="2673"/>
      <c r="I7" s="2673"/>
      <c r="J7" s="2674"/>
      <c r="S7" s="811"/>
      <c r="T7" s="811"/>
      <c r="U7" s="811"/>
      <c r="V7" s="811"/>
      <c r="Y7" s="1774"/>
      <c r="Z7" s="1774"/>
      <c r="AA7" s="1774"/>
      <c r="AB7" s="1774"/>
      <c r="AC7" s="1774"/>
      <c r="AD7" s="1774"/>
      <c r="AE7" s="1774"/>
      <c r="AF7" s="1774"/>
      <c r="AG7" s="1774"/>
      <c r="AH7" s="1774"/>
      <c r="AI7" s="1774"/>
      <c r="AJ7" s="1774"/>
      <c r="AK7" s="1774"/>
      <c r="AL7" s="1774"/>
      <c r="AM7" s="1774"/>
      <c r="AN7" s="1774"/>
      <c r="AO7" s="1774"/>
      <c r="AP7" s="1774"/>
      <c r="AQ7" s="1774"/>
      <c r="AR7" s="788">
        <v>11</v>
      </c>
    </row>
    <row s="50989" customFormat="1" customHeight="1" ht="1.05">
      <c r="A8" s="666"/>
      <c r="B8" s="666"/>
      <c r="D8" s="724"/>
      <c r="E8" s="724"/>
      <c r="F8" s="724"/>
      <c r="G8" s="724"/>
      <c r="H8" s="724"/>
      <c r="I8" s="724"/>
      <c r="J8" s="724"/>
      <c r="K8" s="724"/>
      <c r="L8" s="724"/>
      <c r="M8" s="724"/>
      <c r="N8" s="724"/>
      <c r="O8" s="724"/>
      <c r="P8" s="724"/>
      <c r="Q8" s="724"/>
      <c r="R8" s="724"/>
      <c r="S8" s="724"/>
      <c r="T8" s="724"/>
      <c r="U8" s="724"/>
      <c r="V8" s="724"/>
      <c r="W8" s="724"/>
      <c r="X8" s="644"/>
      <c r="Y8" s="1772"/>
      <c r="Z8" s="1772"/>
      <c r="AA8" s="1772"/>
      <c r="AB8" s="1772"/>
      <c r="AC8" s="1772"/>
      <c r="AD8" s="1772"/>
      <c r="AE8" s="1772"/>
      <c r="AF8" s="1772"/>
      <c r="AG8" s="1772"/>
      <c r="AH8" s="1772"/>
      <c r="AI8" s="1772"/>
      <c r="AJ8" s="1772"/>
      <c r="AK8" s="1772"/>
      <c r="AL8" s="1772"/>
      <c r="AM8" s="1772"/>
      <c r="AN8" s="1772"/>
      <c r="AO8" s="1772"/>
      <c r="AP8" s="1772"/>
      <c r="AQ8" s="1772"/>
      <c r="AR8" s="623">
        <v>1</v>
      </c>
    </row>
    <row customHeight="1" ht="28.5">
      <c r="D9" s="2639" t="s">
        <v>90</v>
      </c>
      <c r="E9" s="2613" t="s">
        <v>188</v>
      </c>
      <c r="F9" s="2615"/>
      <c r="G9" s="2639" t="s">
        <v>175</v>
      </c>
      <c r="H9" s="2639" t="s">
        <v>90</v>
      </c>
      <c r="I9" s="2639"/>
      <c r="J9" s="2639" t="s">
        <v>189</v>
      </c>
      <c r="K9" s="2667" t="s">
        <v>190</v>
      </c>
      <c r="L9" s="2667"/>
      <c r="M9" s="2667"/>
      <c r="N9" s="2667"/>
      <c r="O9" s="2667" t="s">
        <v>191</v>
      </c>
      <c r="P9" s="2667"/>
      <c r="Q9" s="2667"/>
      <c r="R9" s="2667"/>
      <c r="S9" s="2667" t="s">
        <v>192</v>
      </c>
      <c r="T9" s="2667"/>
      <c r="U9" s="2667"/>
      <c r="V9" s="2667"/>
      <c r="W9" s="2639" t="s">
        <v>193</v>
      </c>
      <c r="AR9" s="616">
        <v>27</v>
      </c>
    </row>
    <row customHeight="1" ht="31.5">
      <c r="D10" s="2639"/>
      <c r="E10" s="1796" t="s">
        <v>91</v>
      </c>
      <c r="F10" s="1796" t="s">
        <v>194</v>
      </c>
      <c r="G10" s="2639"/>
      <c r="H10" s="2639"/>
      <c r="I10" s="2639"/>
      <c r="J10" s="2639"/>
      <c r="K10" s="622" t="s">
        <v>178</v>
      </c>
      <c r="L10" s="2639" t="s">
        <v>90</v>
      </c>
      <c r="M10" s="2639"/>
      <c r="N10" s="622" t="s">
        <v>195</v>
      </c>
      <c r="O10" s="622" t="s">
        <v>178</v>
      </c>
      <c r="P10" s="2639" t="s">
        <v>90</v>
      </c>
      <c r="Q10" s="2639"/>
      <c r="R10" s="622" t="s">
        <v>195</v>
      </c>
      <c r="S10" s="795" t="s">
        <v>178</v>
      </c>
      <c r="T10" s="2639" t="s">
        <v>90</v>
      </c>
      <c r="U10" s="2639"/>
      <c r="V10" s="795" t="s">
        <v>91</v>
      </c>
      <c r="W10" s="2639"/>
      <c r="Z10" s="1771" t="s">
        <v>196</v>
      </c>
      <c r="AA10" s="1771" t="s">
        <v>197</v>
      </c>
      <c r="AB10" s="1771" t="s">
        <v>198</v>
      </c>
      <c r="AC10" s="1771" t="s">
        <v>199</v>
      </c>
      <c r="AD10" s="1771" t="s">
        <v>200</v>
      </c>
      <c r="AE10" s="1771" t="s">
        <v>201</v>
      </c>
      <c r="AF10" s="1771" t="s">
        <v>202</v>
      </c>
      <c r="AG10" s="1771" t="s">
        <v>203</v>
      </c>
      <c r="AH10" s="1771" t="s">
        <v>204</v>
      </c>
      <c r="AI10" s="1771" t="s">
        <v>205</v>
      </c>
      <c r="AJ10" s="1771" t="s">
        <v>206</v>
      </c>
      <c r="AK10" s="1771" t="s">
        <v>207</v>
      </c>
      <c r="AL10" s="1771" t="s">
        <v>208</v>
      </c>
      <c r="AM10" s="1771" t="s">
        <v>209</v>
      </c>
      <c r="AN10" s="1771" t="s">
        <v>210</v>
      </c>
      <c r="AO10" s="1771" t="s">
        <v>211</v>
      </c>
      <c r="AP10" s="1771" t="s">
        <v>212</v>
      </c>
      <c r="AQ10" s="1771" t="s">
        <v>213</v>
      </c>
      <c r="AR10" s="616">
        <v>30</v>
      </c>
    </row>
    <row s="50981" customFormat="1" customHeight="1" ht="12" hidden="1">
      <c r="D11" s="1761" t="s">
        <v>101</v>
      </c>
      <c r="E11" s="1761" t="s">
        <v>105</v>
      </c>
      <c r="F11" s="1761"/>
      <c r="G11" s="1761" t="s">
        <v>92</v>
      </c>
      <c r="H11" s="2668" t="s">
        <v>121</v>
      </c>
      <c r="I11" s="2668"/>
      <c r="J11" s="1761" t="s">
        <v>94</v>
      </c>
      <c r="K11" s="1761" t="s">
        <v>95</v>
      </c>
      <c r="L11" s="2668" t="s">
        <v>135</v>
      </c>
      <c r="M11" s="2668"/>
      <c r="N11" s="1761" t="s">
        <v>140</v>
      </c>
      <c r="O11" s="1761" t="s">
        <v>145</v>
      </c>
      <c r="P11" s="2668" t="s">
        <v>151</v>
      </c>
      <c r="Q11" s="2668"/>
      <c r="R11" s="1761" t="s">
        <v>156</v>
      </c>
      <c r="S11" s="1761" t="s">
        <v>151</v>
      </c>
      <c r="T11" s="2668" t="s">
        <v>156</v>
      </c>
      <c r="U11" s="2668"/>
      <c r="V11" s="1761" t="s">
        <v>160</v>
      </c>
      <c r="W11" s="1761" t="s">
        <v>164</v>
      </c>
      <c r="Y11" s="1771"/>
      <c r="Z11" s="1771"/>
      <c r="AA11" s="1771"/>
      <c r="AB11" s="1771"/>
      <c r="AC11" s="1771"/>
      <c r="AD11" s="1771"/>
      <c r="AE11" s="1771"/>
      <c r="AF11" s="1771"/>
      <c r="AG11" s="1771"/>
      <c r="AH11" s="1771"/>
      <c r="AI11" s="1771"/>
      <c r="AJ11" s="1771"/>
      <c r="AK11" s="1771"/>
      <c r="AL11" s="1771"/>
      <c r="AM11" s="1771"/>
      <c r="AN11" s="1771"/>
      <c r="AO11" s="1771"/>
      <c r="AP11" s="1771"/>
      <c r="AQ11" s="1771"/>
      <c r="AR11" s="789">
        <v>0</v>
      </c>
    </row>
    <row customHeight="1" ht="14.25" hidden="1">
      <c r="C12" s="721"/>
      <c r="D12" s="1794">
        <v>0</v>
      </c>
      <c r="E12" s="762"/>
      <c r="F12" s="762"/>
      <c r="G12" s="762"/>
      <c r="H12" s="763"/>
      <c r="I12" s="763"/>
      <c r="J12" s="670"/>
      <c r="K12" s="624"/>
      <c r="L12" s="670"/>
      <c r="M12" s="670"/>
      <c r="N12" s="764"/>
      <c r="O12" s="624"/>
      <c r="P12" s="670"/>
      <c r="Q12" s="670"/>
      <c r="R12" s="765"/>
      <c r="S12" s="796"/>
      <c r="T12" s="804"/>
      <c r="U12" s="804"/>
      <c r="V12" s="808"/>
      <c r="W12" s="624"/>
      <c r="X12" s="653"/>
      <c r="AR12" s="616">
        <v>0</v>
      </c>
    </row>
    <row s="51018" customFormat="1" customHeight="1" ht="17.25" hidden="1">
      <c r="A13" s="833"/>
      <c r="C13" s="721"/>
      <c r="D13" s="2647">
        <v>1</v>
      </c>
      <c r="E13" s="2655" t="s">
        <v>214</v>
      </c>
      <c r="F13" s="2657" t="s">
        <v>19</v>
      </c>
      <c r="G13" s="2655"/>
      <c r="H13" s="2660"/>
      <c r="I13" s="2662"/>
      <c r="J13" s="2664"/>
      <c r="K13" s="2649"/>
      <c r="L13" s="2649"/>
      <c r="M13" s="2649"/>
      <c r="N13" s="2651"/>
      <c r="O13" s="2649"/>
      <c r="P13" s="2649"/>
      <c r="Q13" s="2649"/>
      <c r="R13" s="2654"/>
      <c r="S13" s="2649"/>
      <c r="T13" s="1932"/>
      <c r="U13" s="1932"/>
      <c r="V13" s="1931"/>
      <c r="W13" s="1808"/>
      <c r="Y13" s="1779"/>
      <c r="Z13" s="1779"/>
      <c r="AA13" s="1779"/>
      <c r="AB13" s="1779"/>
      <c r="AC13" s="1779" t="s">
        <v>215</v>
      </c>
      <c r="AD13" s="1779" t="s">
        <v>216</v>
      </c>
      <c r="AE13" s="1779" t="s">
        <v>217</v>
      </c>
      <c r="AF13" s="1779" t="s">
        <v>218</v>
      </c>
      <c r="AG13" s="1779" t="s">
        <v>219</v>
      </c>
      <c r="AH13" s="17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9" t="str">
        <f>IF($G$13=0,"",$G$13)</f>
        <v/>
      </c>
      <c r="AJ13" s="1779" t="str">
        <f>IF($J$13=0,"",$J$13)</f>
        <v/>
      </c>
      <c r="AK13" s="1779" t="str">
        <f>IF($K$13="нет","без дифференциации",IF($N$13=0,"",$N$13))</f>
        <v/>
      </c>
      <c r="AL13" s="1779" t="str">
        <f>IF($O$13="нет","без дифференциации",IF($R$13=0,"",$R$13))</f>
        <v/>
      </c>
      <c r="AM13" s="1779" t="str">
        <f>IF($S$13="нет","без дифференциации",IF($V$13=0,"",$V$13))</f>
        <v/>
      </c>
      <c r="AN13" s="1779">
        <f>$I$13</f>
        <v>0</v>
      </c>
      <c r="AO13" s="1779" t="str">
        <f>$I$13&amp;"."&amp;$M$13</f>
        <v>.</v>
      </c>
      <c r="AP13" s="1779" t="str">
        <f>$I$13&amp;"."&amp;$M$13&amp;"."&amp;$Q$13</f>
        <v>..</v>
      </c>
      <c r="AQ13" s="1779" t="str">
        <f>$I$13&amp;"."&amp;$M$13&amp;"."&amp;$Q$13&amp;"."&amp;$U$13</f>
        <v>...</v>
      </c>
      <c r="AR13" s="1262">
        <v>0</v>
      </c>
    </row>
    <row s="51018" customFormat="1" customHeight="1" ht="17.25" hidden="1">
      <c r="A14" s="833"/>
      <c r="C14" s="832"/>
      <c r="D14" s="2647"/>
      <c r="E14" s="2655"/>
      <c r="F14" s="2658"/>
      <c r="G14" s="2655"/>
      <c r="H14" s="2661"/>
      <c r="I14" s="2663"/>
      <c r="J14" s="2665"/>
      <c r="K14" s="2650"/>
      <c r="L14" s="2650"/>
      <c r="M14" s="2650"/>
      <c r="N14" s="2652"/>
      <c r="O14" s="2650"/>
      <c r="P14" s="2650"/>
      <c r="Q14" s="2650"/>
      <c r="R14" s="2653"/>
      <c r="S14" s="2650"/>
      <c r="T14" s="1809"/>
      <c r="U14" s="1809"/>
      <c r="V14" s="1809"/>
      <c r="W14" s="1810"/>
      <c r="Y14" s="1771"/>
      <c r="Z14" s="1771"/>
      <c r="AA14" s="1771"/>
      <c r="AB14" s="1771"/>
      <c r="AC14" s="1771"/>
      <c r="AD14" s="1771"/>
      <c r="AE14" s="1771"/>
      <c r="AF14" s="1771"/>
      <c r="AG14" s="1771"/>
      <c r="AH14" s="1771"/>
      <c r="AI14" s="1771"/>
      <c r="AJ14" s="1771"/>
      <c r="AK14" s="1771"/>
      <c r="AL14" s="1771"/>
      <c r="AM14" s="1771"/>
      <c r="AN14" s="1771"/>
      <c r="AO14" s="1771"/>
      <c r="AP14" s="1771"/>
      <c r="AQ14" s="1771"/>
      <c r="AR14" s="1262">
        <v>0</v>
      </c>
    </row>
    <row s="51018" customFormat="1" customHeight="1" ht="17.25" hidden="1">
      <c r="A15" s="833"/>
      <c r="C15" s="721"/>
      <c r="D15" s="2647"/>
      <c r="E15" s="2655"/>
      <c r="F15" s="2658"/>
      <c r="G15" s="2655"/>
      <c r="H15" s="2661"/>
      <c r="I15" s="2663"/>
      <c r="J15" s="2666"/>
      <c r="K15" s="2650"/>
      <c r="L15" s="2650"/>
      <c r="M15" s="2650"/>
      <c r="N15" s="2653"/>
      <c r="O15" s="2650"/>
      <c r="P15" s="1930"/>
      <c r="Q15" s="1809"/>
      <c r="R15" s="1809"/>
      <c r="S15" s="841"/>
      <c r="T15" s="841"/>
      <c r="U15" s="841"/>
      <c r="V15" s="841"/>
      <c r="W15" s="1810"/>
      <c r="Y15" s="1779"/>
      <c r="Z15" s="1779"/>
      <c r="AA15" s="1779"/>
      <c r="AB15" s="1779"/>
      <c r="AC15" s="1779"/>
      <c r="AD15" s="1779"/>
      <c r="AE15" s="1779"/>
      <c r="AF15" s="1779"/>
      <c r="AG15" s="1779"/>
      <c r="AH15" s="1779"/>
      <c r="AI15" s="1779"/>
      <c r="AJ15" s="1779"/>
      <c r="AK15" s="1779"/>
      <c r="AL15" s="1779"/>
      <c r="AM15" s="1779"/>
      <c r="AN15" s="1779"/>
      <c r="AO15" s="1779"/>
      <c r="AP15" s="1779"/>
      <c r="AQ15" s="1779"/>
      <c r="AR15" s="1929">
        <v>0</v>
      </c>
    </row>
    <row s="51018" customFormat="1" customHeight="1" ht="17.25" hidden="1">
      <c r="A16" s="833"/>
      <c r="C16" s="832"/>
      <c r="D16" s="2647"/>
      <c r="E16" s="2655"/>
      <c r="F16" s="2658"/>
      <c r="G16" s="2655"/>
      <c r="H16" s="2661"/>
      <c r="I16" s="2663"/>
      <c r="J16" s="2666"/>
      <c r="K16" s="2650"/>
      <c r="L16" s="1809"/>
      <c r="M16" s="1809"/>
      <c r="N16" s="1809"/>
      <c r="O16" s="1809"/>
      <c r="P16" s="1809"/>
      <c r="Q16" s="1809"/>
      <c r="R16" s="1809"/>
      <c r="S16" s="841"/>
      <c r="T16" s="841"/>
      <c r="U16" s="841"/>
      <c r="V16" s="841"/>
      <c r="W16" s="1810"/>
      <c r="Y16" s="1771"/>
      <c r="Z16" s="1771"/>
      <c r="AA16" s="1771"/>
      <c r="AB16" s="1771"/>
      <c r="AC16" s="1771"/>
      <c r="AD16" s="1771"/>
      <c r="AE16" s="1771"/>
      <c r="AF16" s="1771"/>
      <c r="AG16" s="1771"/>
      <c r="AH16" s="1771"/>
      <c r="AI16" s="1771"/>
      <c r="AJ16" s="1771"/>
      <c r="AK16" s="1771"/>
      <c r="AL16" s="1771"/>
      <c r="AM16" s="1771"/>
      <c r="AN16" s="1771"/>
      <c r="AO16" s="1771"/>
      <c r="AP16" s="1771"/>
      <c r="AQ16" s="1771"/>
      <c r="AR16" s="1929">
        <v>0</v>
      </c>
    </row>
    <row s="51018" customFormat="1" customHeight="1" ht="17.25" hidden="1">
      <c r="A17" s="833"/>
      <c r="C17" s="832"/>
      <c r="D17" s="2648"/>
      <c r="E17" s="2656"/>
      <c r="F17" s="2659"/>
      <c r="G17" s="2656"/>
      <c r="H17" s="1811"/>
      <c r="I17" s="1812"/>
      <c r="J17" s="1812"/>
      <c r="K17" s="1812"/>
      <c r="L17" s="1812"/>
      <c r="M17" s="1812"/>
      <c r="N17" s="1812"/>
      <c r="O17" s="1812"/>
      <c r="P17" s="1812"/>
      <c r="Q17" s="1812"/>
      <c r="R17" s="1812"/>
      <c r="S17" s="1813"/>
      <c r="T17" s="1813"/>
      <c r="U17" s="1813"/>
      <c r="V17" s="1813"/>
      <c r="W17" s="1814"/>
      <c r="Y17" s="1771"/>
      <c r="Z17" s="1771"/>
      <c r="AA17" s="1771"/>
      <c r="AB17" s="1771"/>
      <c r="AC17" s="1771"/>
      <c r="AD17" s="1771"/>
      <c r="AE17" s="1771"/>
      <c r="AF17" s="1771"/>
      <c r="AG17" s="1771"/>
      <c r="AH17" s="1771"/>
      <c r="AI17" s="1771"/>
      <c r="AJ17" s="1771"/>
      <c r="AK17" s="1771"/>
      <c r="AL17" s="1771"/>
      <c r="AM17" s="1771"/>
      <c r="AN17" s="1771"/>
      <c r="AO17" s="1771"/>
      <c r="AP17" s="1771"/>
      <c r="AQ17" s="1771"/>
      <c r="AR17" s="1262">
        <v>0</v>
      </c>
    </row>
    <row s="51018" customFormat="1" customHeight="1" ht="17.25" hidden="1">
      <c r="A18" s="833"/>
      <c r="C18" s="721"/>
      <c r="D18" s="2647">
        <v>2</v>
      </c>
      <c r="E18" s="2676"/>
      <c r="F18" s="2657" t="s">
        <v>19</v>
      </c>
      <c r="G18" s="2655"/>
      <c r="H18" s="2660"/>
      <c r="I18" s="2662"/>
      <c r="J18" s="2664"/>
      <c r="K18" s="2649"/>
      <c r="L18" s="2649"/>
      <c r="M18" s="2649"/>
      <c r="N18" s="2651"/>
      <c r="O18" s="2649"/>
      <c r="P18" s="2649"/>
      <c r="Q18" s="2649"/>
      <c r="R18" s="2654"/>
      <c r="S18" s="2649"/>
      <c r="T18" s="1932"/>
      <c r="U18" s="1932"/>
      <c r="V18" s="1931"/>
      <c r="W18" s="1808"/>
      <c r="X18" s="1779"/>
      <c r="Y18" s="1779"/>
      <c r="Z18" s="1779"/>
      <c r="AA18" s="1779"/>
      <c r="AB18" s="1779"/>
      <c r="AC18" s="1779" t="s">
        <v>220</v>
      </c>
      <c r="AD18" s="1779" t="s">
        <v>221</v>
      </c>
      <c r="AE18" s="1779" t="s">
        <v>222</v>
      </c>
      <c r="AF18" s="1779" t="s">
        <v>223</v>
      </c>
      <c r="AG18" s="1779" t="s">
        <v>224</v>
      </c>
      <c r="AH18" s="1779" t="str">
        <f>IF($E$18=0,"",$E$18)</f>
        <v/>
      </c>
      <c r="AI18" s="1779" t="str">
        <f>IF($G$18=0,"",$G$18)</f>
        <v/>
      </c>
      <c r="AJ18" s="1779" t="str">
        <f>IF($J$18=0,"",$J$18)</f>
        <v/>
      </c>
      <c r="AK18" s="1779" t="str">
        <f>IF($K$18="нет","без дифференциации",IF($N$18=0,"",$N$18))</f>
        <v/>
      </c>
      <c r="AL18" s="1779" t="str">
        <f>IF($O$18="нет","без дифференциации",IF($R$18=0,"",$R$18))</f>
        <v/>
      </c>
      <c r="AM18" s="1779" t="str">
        <f>IF($S$18="нет","без дифференциации",IF($V$18=0,"",$V$18))</f>
        <v/>
      </c>
      <c r="AN18" s="2284">
        <f>$I$18</f>
        <v>0</v>
      </c>
      <c r="AO18" s="1779" t="str">
        <f>$I$18&amp;"."&amp;$M$18</f>
        <v>.</v>
      </c>
      <c r="AP18" s="1771" t="str">
        <f>$I$18&amp;"."&amp;$M$18&amp;"."&amp;$Q$18</f>
        <v>..</v>
      </c>
      <c r="AQ18" s="1771" t="str">
        <f>$I$18&amp;"."&amp;$M$18&amp;"."&amp;$Q$18&amp;"."&amp;$U$18</f>
        <v>...</v>
      </c>
      <c r="AR18" s="1795">
        <v>0</v>
      </c>
    </row>
    <row s="51018" customFormat="1" customHeight="1" ht="17.25" hidden="1">
      <c r="A19" s="833"/>
      <c r="C19" s="832"/>
      <c r="D19" s="2647"/>
      <c r="E19" s="2676"/>
      <c r="F19" s="2658"/>
      <c r="G19" s="2655"/>
      <c r="H19" s="2661"/>
      <c r="I19" s="2663"/>
      <c r="J19" s="2665"/>
      <c r="K19" s="2650"/>
      <c r="L19" s="2650"/>
      <c r="M19" s="2650"/>
      <c r="N19" s="2652"/>
      <c r="O19" s="2650"/>
      <c r="P19" s="2650"/>
      <c r="Q19" s="2650"/>
      <c r="R19" s="2653"/>
      <c r="S19" s="2650"/>
      <c r="T19" s="1809"/>
      <c r="U19" s="1809"/>
      <c r="V19" s="1809"/>
      <c r="W19" s="1810"/>
      <c r="X19" s="1771"/>
      <c r="Y19" s="1771"/>
      <c r="Z19" s="1771"/>
      <c r="AA19" s="1771"/>
      <c r="AB19" s="1771"/>
      <c r="AC19" s="1771"/>
      <c r="AD19" s="1771"/>
      <c r="AE19" s="1771"/>
      <c r="AF19" s="1771"/>
      <c r="AG19" s="1771"/>
      <c r="AH19" s="1771"/>
      <c r="AI19" s="1771"/>
      <c r="AJ19" s="1771"/>
      <c r="AK19" s="1771"/>
      <c r="AL19" s="1771"/>
      <c r="AM19" s="1771"/>
      <c r="AN19" s="1771"/>
      <c r="AO19" s="1771"/>
      <c r="AP19" s="1771"/>
      <c r="AQ19" s="1771"/>
      <c r="AR19" s="1795">
        <v>0</v>
      </c>
    </row>
    <row s="51018" customFormat="1" customHeight="1" ht="17.25" hidden="1">
      <c r="A20" s="833"/>
      <c r="C20" s="832"/>
      <c r="D20" s="2648"/>
      <c r="E20" s="2677"/>
      <c r="F20" s="2658"/>
      <c r="G20" s="2656"/>
      <c r="H20" s="2661"/>
      <c r="I20" s="2663"/>
      <c r="J20" s="2666"/>
      <c r="K20" s="2650"/>
      <c r="L20" s="2650"/>
      <c r="M20" s="2650"/>
      <c r="N20" s="2653"/>
      <c r="O20" s="2650"/>
      <c r="P20" s="1930"/>
      <c r="Q20" s="1809"/>
      <c r="R20" s="1809"/>
      <c r="S20" s="841"/>
      <c r="T20" s="841"/>
      <c r="U20" s="841"/>
      <c r="V20" s="841"/>
      <c r="W20" s="1810"/>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95">
        <v>0</v>
      </c>
    </row>
    <row s="51018" customFormat="1" customHeight="1" ht="17.25" hidden="1">
      <c r="A21" s="833"/>
      <c r="C21" s="832"/>
      <c r="D21" s="2648"/>
      <c r="E21" s="2677"/>
      <c r="F21" s="2658"/>
      <c r="G21" s="2656"/>
      <c r="H21" s="2661"/>
      <c r="I21" s="2663"/>
      <c r="J21" s="2666"/>
      <c r="K21" s="2650"/>
      <c r="L21" s="1809"/>
      <c r="M21" s="1809"/>
      <c r="N21" s="1809"/>
      <c r="O21" s="1809"/>
      <c r="P21" s="1809"/>
      <c r="Q21" s="1809"/>
      <c r="R21" s="1809"/>
      <c r="S21" s="841"/>
      <c r="T21" s="841"/>
      <c r="U21" s="841"/>
      <c r="V21" s="841"/>
      <c r="W21" s="1810"/>
      <c r="X21" s="1771"/>
      <c r="Y21" s="1771"/>
      <c r="Z21" s="1771"/>
      <c r="AA21" s="1771"/>
      <c r="AB21" s="1771"/>
      <c r="AC21" s="1771"/>
      <c r="AD21" s="1771"/>
      <c r="AE21" s="1771"/>
      <c r="AF21" s="1771"/>
      <c r="AG21" s="1771"/>
      <c r="AH21" s="1771"/>
      <c r="AI21" s="1771"/>
      <c r="AJ21" s="1771"/>
      <c r="AK21" s="1771"/>
      <c r="AL21" s="1771"/>
      <c r="AM21" s="1771"/>
      <c r="AN21" s="1771"/>
      <c r="AO21" s="1771"/>
      <c r="AP21" s="1771"/>
      <c r="AQ21" s="1771"/>
      <c r="AR21" s="1795">
        <v>0</v>
      </c>
    </row>
    <row s="51018" customFormat="1" customHeight="1" ht="17.25" hidden="1">
      <c r="A22" s="833"/>
      <c r="C22" s="832"/>
      <c r="D22" s="2648"/>
      <c r="E22" s="2677"/>
      <c r="F22" s="2659"/>
      <c r="G22" s="2656"/>
      <c r="H22" s="1811"/>
      <c r="I22" s="1812"/>
      <c r="J22" s="1812"/>
      <c r="K22" s="1812"/>
      <c r="L22" s="1812"/>
      <c r="M22" s="1812"/>
      <c r="N22" s="1812"/>
      <c r="O22" s="1812"/>
      <c r="P22" s="1812"/>
      <c r="Q22" s="1812"/>
      <c r="R22" s="1812"/>
      <c r="S22" s="1813"/>
      <c r="T22" s="1813"/>
      <c r="U22" s="1813"/>
      <c r="V22" s="1813"/>
      <c r="W22" s="1814"/>
      <c r="X22" s="1771"/>
      <c r="Y22" s="1771"/>
      <c r="Z22" s="1771"/>
      <c r="AA22" s="1771"/>
      <c r="AB22" s="1771"/>
      <c r="AC22" s="1771"/>
      <c r="AD22" s="1771"/>
      <c r="AE22" s="1771"/>
      <c r="AF22" s="1771"/>
      <c r="AG22" s="1771"/>
      <c r="AH22" s="1771"/>
      <c r="AI22" s="1771"/>
      <c r="AJ22" s="1771"/>
      <c r="AK22" s="1771"/>
      <c r="AL22" s="1771"/>
      <c r="AM22" s="1771"/>
      <c r="AN22" s="1771"/>
      <c r="AO22" s="1771"/>
      <c r="AP22" s="1771"/>
      <c r="AQ22" s="1771"/>
      <c r="AR22" s="1795">
        <v>0</v>
      </c>
    </row>
    <row s="51018" customFormat="1" customHeight="1" ht="17.25" hidden="1">
      <c r="A23" s="833"/>
      <c r="C23" s="721"/>
      <c r="D23" s="2647">
        <v>2</v>
      </c>
      <c r="E23" s="2655" t="s">
        <v>225</v>
      </c>
      <c r="F23" s="2657" t="s">
        <v>19</v>
      </c>
      <c r="G23" s="2655"/>
      <c r="H23" s="2660"/>
      <c r="I23" s="2662"/>
      <c r="J23" s="2664"/>
      <c r="K23" s="2649"/>
      <c r="L23" s="2649"/>
      <c r="M23" s="2649"/>
      <c r="N23" s="2651"/>
      <c r="O23" s="2649"/>
      <c r="P23" s="2649"/>
      <c r="Q23" s="2649"/>
      <c r="R23" s="2654"/>
      <c r="S23" s="2649"/>
      <c r="T23" s="2510"/>
      <c r="U23" s="2510"/>
      <c r="V23" s="2512"/>
      <c r="W23" s="1808"/>
      <c r="X23" s="1779"/>
      <c r="Y23" s="1779"/>
      <c r="Z23" s="1779"/>
      <c r="AA23" s="1779"/>
      <c r="AB23" s="1779"/>
      <c r="AC23" s="1779" t="s">
        <v>220</v>
      </c>
      <c r="AD23" s="1779" t="s">
        <v>221</v>
      </c>
      <c r="AE23" s="1779" t="s">
        <v>222</v>
      </c>
      <c r="AF23" s="1779" t="s">
        <v>223</v>
      </c>
      <c r="AG23" s="1779" t="s">
        <v>224</v>
      </c>
      <c r="AH23" s="1779" t="str">
        <f>IF($E$23=0,"",$E$23)</f>
        <v>Тарифы на тепловую энергию (мощность), поставляемую теплоснабжающими организациями потребителям, другим теплоснабжающим организациям</v>
      </c>
      <c r="AI23" s="1779" t="str">
        <f>IF($G$23=0,"",$G$23)</f>
        <v/>
      </c>
      <c r="AJ23" s="1779" t="str">
        <f>IF($J$23=0,"",$J$23)</f>
        <v/>
      </c>
      <c r="AK23" s="1779" t="str">
        <f>IF($K$23="нет","без дифференциации",IF($N$23=0,"",$N$23))</f>
        <v/>
      </c>
      <c r="AL23" s="1779" t="str">
        <f>IF($O$23="нет","без дифференциации",IF($R$23=0,"",$R$23))</f>
        <v/>
      </c>
      <c r="AM23" s="1779" t="str">
        <f>IF($S$23="нет","без дифференциации",IF($V$23=0,"",$V$23))</f>
        <v/>
      </c>
      <c r="AN23" s="2284">
        <f>$I$23</f>
        <v>0</v>
      </c>
      <c r="AO23" s="1779" t="str">
        <f>$I$23&amp;"."&amp;$M$23</f>
        <v>.</v>
      </c>
      <c r="AP23" s="1778" t="str">
        <f>$I$23&amp;"."&amp;$M$23&amp;"."&amp;$Q$23</f>
        <v>..</v>
      </c>
      <c r="AQ23" s="1778" t="str">
        <f>$I$23&amp;"."&amp;$M$23&amp;"."&amp;$Q$23&amp;"."&amp;$U$23</f>
        <v>...</v>
      </c>
      <c r="AR23" s="1979">
        <v>0</v>
      </c>
    </row>
    <row s="51018" customFormat="1" customHeight="1" ht="17.25" hidden="1">
      <c r="A24" s="833"/>
      <c r="C24" s="832"/>
      <c r="D24" s="2647"/>
      <c r="E24" s="2655"/>
      <c r="F24" s="2658"/>
      <c r="G24" s="2655"/>
      <c r="H24" s="2661"/>
      <c r="I24" s="2663"/>
      <c r="J24" s="2665"/>
      <c r="K24" s="2650"/>
      <c r="L24" s="2650"/>
      <c r="M24" s="2650"/>
      <c r="N24" s="2652"/>
      <c r="O24" s="2650"/>
      <c r="P24" s="2650"/>
      <c r="Q24" s="2650"/>
      <c r="R24" s="2653"/>
      <c r="S24" s="2650"/>
      <c r="T24" s="2515"/>
      <c r="U24" s="2515"/>
      <c r="V24" s="2515"/>
      <c r="W24" s="2516"/>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979">
        <v>0</v>
      </c>
    </row>
    <row s="51018" customFormat="1" customHeight="1" ht="17.25" hidden="1">
      <c r="A25" s="833"/>
      <c r="C25" s="832"/>
      <c r="D25" s="2648"/>
      <c r="E25" s="2656"/>
      <c r="F25" s="2658"/>
      <c r="G25" s="2656"/>
      <c r="H25" s="2661"/>
      <c r="I25" s="2663"/>
      <c r="J25" s="2666"/>
      <c r="K25" s="2650"/>
      <c r="L25" s="2650"/>
      <c r="M25" s="2650"/>
      <c r="N25" s="2653"/>
      <c r="O25" s="2650"/>
      <c r="P25" s="2511"/>
      <c r="Q25" s="2515"/>
      <c r="R25" s="2515"/>
      <c r="S25" s="841"/>
      <c r="T25" s="841"/>
      <c r="U25" s="841"/>
      <c r="V25" s="841"/>
      <c r="W25" s="2516"/>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979">
        <v>0</v>
      </c>
    </row>
    <row s="51018" customFormat="1" customHeight="1" ht="17.25" hidden="1">
      <c r="A26" s="833"/>
      <c r="C26" s="832"/>
      <c r="D26" s="2648"/>
      <c r="E26" s="2656"/>
      <c r="F26" s="2658"/>
      <c r="G26" s="2656"/>
      <c r="H26" s="2661"/>
      <c r="I26" s="2663"/>
      <c r="J26" s="2666"/>
      <c r="K26" s="2650"/>
      <c r="L26" s="2515"/>
      <c r="M26" s="2515"/>
      <c r="N26" s="2515"/>
      <c r="O26" s="2515"/>
      <c r="P26" s="2515"/>
      <c r="Q26" s="2515"/>
      <c r="R26" s="2515"/>
      <c r="S26" s="841"/>
      <c r="T26" s="841"/>
      <c r="U26" s="841"/>
      <c r="V26" s="841"/>
      <c r="W26" s="2516"/>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979">
        <v>0</v>
      </c>
    </row>
    <row s="51018" customFormat="1" customHeight="1" ht="17.25" hidden="1">
      <c r="A27" s="833"/>
      <c r="C27" s="832"/>
      <c r="D27" s="2648"/>
      <c r="E27" s="2656"/>
      <c r="F27" s="2659"/>
      <c r="G27" s="2656"/>
      <c r="H27" s="1811"/>
      <c r="I27" s="2513"/>
      <c r="J27" s="2513"/>
      <c r="K27" s="2513"/>
      <c r="L27" s="2513"/>
      <c r="M27" s="2513"/>
      <c r="N27" s="2513"/>
      <c r="O27" s="2513"/>
      <c r="P27" s="2513"/>
      <c r="Q27" s="2513"/>
      <c r="R27" s="2513"/>
      <c r="S27" s="1813"/>
      <c r="T27" s="1813"/>
      <c r="U27" s="1813"/>
      <c r="V27" s="1813"/>
      <c r="W27" s="2514"/>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979">
        <v>0</v>
      </c>
    </row>
    <row s="51018" customFormat="1" customHeight="1" ht="17.25" hidden="1">
      <c r="A28" s="833"/>
      <c r="C28" s="721"/>
      <c r="D28" s="2647">
        <v>3</v>
      </c>
      <c r="E28" s="2655" t="s">
        <v>226</v>
      </c>
      <c r="F28" s="2657" t="s">
        <v>19</v>
      </c>
      <c r="G28" s="2655"/>
      <c r="H28" s="2660"/>
      <c r="I28" s="2662"/>
      <c r="J28" s="2664"/>
      <c r="K28" s="2649"/>
      <c r="L28" s="2649"/>
      <c r="M28" s="2649"/>
      <c r="N28" s="2651"/>
      <c r="O28" s="2649"/>
      <c r="P28" s="2649"/>
      <c r="Q28" s="2649"/>
      <c r="R28" s="2654"/>
      <c r="S28" s="2649"/>
      <c r="T28" s="1932"/>
      <c r="U28" s="1932"/>
      <c r="V28" s="1931"/>
      <c r="W28" s="1808"/>
      <c r="X28" s="1779"/>
      <c r="Y28" s="1779"/>
      <c r="Z28" s="1779"/>
      <c r="AA28" s="1779"/>
      <c r="AB28" s="1779"/>
      <c r="AC28" s="1779" t="s">
        <v>227</v>
      </c>
      <c r="AD28" s="1779" t="s">
        <v>228</v>
      </c>
      <c r="AE28" s="1779" t="s">
        <v>229</v>
      </c>
      <c r="AF28" s="1779" t="s">
        <v>230</v>
      </c>
      <c r="AG28" s="1779" t="s">
        <v>231</v>
      </c>
      <c r="AH28" s="1779" t="str">
        <f>IF($E$28=0,"",$E$28)</f>
        <v>Тарифы на теплоноситель, поставляемый теплоснабжающими организациями потребителям, другим теплоснабжающим организациям</v>
      </c>
      <c r="AI28" s="1779" t="str">
        <f>IF($G$28=0,"",$G$28)</f>
        <v/>
      </c>
      <c r="AJ28" s="1779" t="str">
        <f>IF($J$28=0,"",$J$28)</f>
        <v/>
      </c>
      <c r="AK28" s="1779" t="str">
        <f>IF($K$28="нет","без дифференциации",IF($N$28=0,"",$N$28))</f>
        <v/>
      </c>
      <c r="AL28" s="1779" t="str">
        <f>IF($O$28="нет","без дифференциации",IF($R$28=0,"",$R$28))</f>
        <v/>
      </c>
      <c r="AM28" s="1779" t="str">
        <f>IF($S$28="нет","без дифференциации",IF($V$28=0,"",$V$28))</f>
        <v/>
      </c>
      <c r="AN28" s="2284">
        <f>$I$28</f>
        <v>0</v>
      </c>
      <c r="AO28" s="1779" t="str">
        <f>$I$28&amp;"."&amp;$M$28</f>
        <v>.</v>
      </c>
      <c r="AP28" s="1771" t="str">
        <f>$I$28&amp;"."&amp;$M$28&amp;"."&amp;$Q$28</f>
        <v>..</v>
      </c>
      <c r="AQ28" s="1771" t="str">
        <f>$I$28&amp;"."&amp;$M$28&amp;"."&amp;$Q$28&amp;"."&amp;$U$28</f>
        <v>...</v>
      </c>
      <c r="AR28" s="1795">
        <v>0</v>
      </c>
    </row>
    <row s="51018" customFormat="1" customHeight="1" ht="17.25" hidden="1">
      <c r="A29" s="833"/>
      <c r="C29" s="832"/>
      <c r="D29" s="2647"/>
      <c r="E29" s="2655"/>
      <c r="F29" s="2658"/>
      <c r="G29" s="2655"/>
      <c r="H29" s="2661"/>
      <c r="I29" s="2663"/>
      <c r="J29" s="2665"/>
      <c r="K29" s="2650"/>
      <c r="L29" s="2650"/>
      <c r="M29" s="2650"/>
      <c r="N29" s="2652"/>
      <c r="O29" s="2650"/>
      <c r="P29" s="2650"/>
      <c r="Q29" s="2650"/>
      <c r="R29" s="2653"/>
      <c r="S29" s="2650"/>
      <c r="T29" s="1809"/>
      <c r="U29" s="1809"/>
      <c r="V29" s="1809"/>
      <c r="W29" s="1810"/>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95">
        <v>0</v>
      </c>
    </row>
    <row s="51018" customFormat="1" customHeight="1" ht="17.25" hidden="1">
      <c r="A30" s="833"/>
      <c r="C30" s="832"/>
      <c r="D30" s="2648"/>
      <c r="E30" s="2656"/>
      <c r="F30" s="2658"/>
      <c r="G30" s="2656"/>
      <c r="H30" s="2661"/>
      <c r="I30" s="2663"/>
      <c r="J30" s="2666"/>
      <c r="K30" s="2650"/>
      <c r="L30" s="2650"/>
      <c r="M30" s="2650"/>
      <c r="N30" s="2653"/>
      <c r="O30" s="2650"/>
      <c r="P30" s="1930"/>
      <c r="Q30" s="1809"/>
      <c r="R30" s="1809"/>
      <c r="S30" s="841"/>
      <c r="T30" s="841"/>
      <c r="U30" s="841"/>
      <c r="V30" s="841"/>
      <c r="W30" s="1810"/>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95">
        <v>0</v>
      </c>
    </row>
    <row s="51018" customFormat="1" customHeight="1" ht="17.25" hidden="1">
      <c r="A31" s="833"/>
      <c r="C31" s="832"/>
      <c r="D31" s="2648"/>
      <c r="E31" s="2656"/>
      <c r="F31" s="2658"/>
      <c r="G31" s="2656"/>
      <c r="H31" s="2661"/>
      <c r="I31" s="2663"/>
      <c r="J31" s="2666"/>
      <c r="K31" s="2650"/>
      <c r="L31" s="1809"/>
      <c r="M31" s="1809"/>
      <c r="N31" s="1809"/>
      <c r="O31" s="1809"/>
      <c r="P31" s="1809"/>
      <c r="Q31" s="1809"/>
      <c r="R31" s="1809"/>
      <c r="S31" s="841"/>
      <c r="T31" s="841"/>
      <c r="U31" s="841"/>
      <c r="V31" s="841"/>
      <c r="W31" s="1810"/>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95">
        <v>0</v>
      </c>
    </row>
    <row s="51018" customFormat="1" customHeight="1" ht="17.25" hidden="1">
      <c r="A32" s="833"/>
      <c r="C32" s="832"/>
      <c r="D32" s="2648"/>
      <c r="E32" s="2656"/>
      <c r="F32" s="2659"/>
      <c r="G32" s="2656"/>
      <c r="H32" s="1811"/>
      <c r="I32" s="1812"/>
      <c r="J32" s="1812"/>
      <c r="K32" s="1812"/>
      <c r="L32" s="1812"/>
      <c r="M32" s="1812"/>
      <c r="N32" s="1812"/>
      <c r="O32" s="1812"/>
      <c r="P32" s="1812"/>
      <c r="Q32" s="1812"/>
      <c r="R32" s="1812"/>
      <c r="S32" s="1813"/>
      <c r="T32" s="1813"/>
      <c r="U32" s="1813"/>
      <c r="V32" s="1813"/>
      <c r="W32" s="1814"/>
      <c r="X32" s="1771"/>
      <c r="Y32" s="1771"/>
      <c r="Z32" s="1771"/>
      <c r="AA32" s="1771"/>
      <c r="AB32" s="1771"/>
      <c r="AC32" s="1771"/>
      <c r="AD32" s="1771"/>
      <c r="AE32" s="1771"/>
      <c r="AF32" s="1771"/>
      <c r="AG32" s="1771"/>
      <c r="AH32" s="1771"/>
      <c r="AI32" s="1771"/>
      <c r="AJ32" s="1771"/>
      <c r="AK32" s="1771"/>
      <c r="AL32" s="1771"/>
      <c r="AM32" s="1771"/>
      <c r="AN32" s="1771"/>
      <c r="AO32" s="1771"/>
      <c r="AP32" s="1771"/>
      <c r="AQ32" s="1771"/>
      <c r="AR32" s="1795">
        <v>0</v>
      </c>
    </row>
    <row s="51018" customFormat="1" customHeight="1" ht="17.25" hidden="1">
      <c r="A33" s="833"/>
      <c r="C33" s="721"/>
      <c r="D33" s="2647">
        <v>4</v>
      </c>
      <c r="E33" s="2655" t="s">
        <v>232</v>
      </c>
      <c r="F33" s="2657" t="s">
        <v>19</v>
      </c>
      <c r="G33" s="2655"/>
      <c r="H33" s="2660"/>
      <c r="I33" s="2662"/>
      <c r="J33" s="2664"/>
      <c r="K33" s="2649"/>
      <c r="L33" s="2649"/>
      <c r="M33" s="2649"/>
      <c r="N33" s="2651"/>
      <c r="O33" s="2649"/>
      <c r="P33" s="2649"/>
      <c r="Q33" s="2649"/>
      <c r="R33" s="2654"/>
      <c r="S33" s="2649"/>
      <c r="T33" s="1932"/>
      <c r="U33" s="1932"/>
      <c r="V33" s="1931"/>
      <c r="W33" s="1808"/>
      <c r="X33" s="1779"/>
      <c r="Y33" s="1779"/>
      <c r="Z33" s="1779"/>
      <c r="AA33" s="1779"/>
      <c r="AB33" s="1779"/>
      <c r="AC33" s="1779" t="s">
        <v>233</v>
      </c>
      <c r="AD33" s="1779" t="s">
        <v>234</v>
      </c>
      <c r="AE33" s="1779" t="s">
        <v>235</v>
      </c>
      <c r="AF33" s="1779" t="s">
        <v>236</v>
      </c>
      <c r="AG33" s="1779" t="s">
        <v>237</v>
      </c>
      <c r="AH33" s="177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79" t="str">
        <f>IF($G$33=0,"",$G$33)</f>
        <v/>
      </c>
      <c r="AJ33" s="1779" t="str">
        <f>IF($J$33=0,"",$J$33)</f>
        <v/>
      </c>
      <c r="AK33" s="1779" t="str">
        <f>IF($K$33="нет","без дифференциации",IF($N$33=0,"",$N$33))</f>
        <v/>
      </c>
      <c r="AL33" s="1779" t="str">
        <f>IF($O$33="нет","без дифференциации",IF($R$33=0,"",$R$33))</f>
        <v/>
      </c>
      <c r="AM33" s="1779" t="str">
        <f>IF($S$33="нет","без дифференциации",IF($V$33=0,"",$V$33))</f>
        <v/>
      </c>
      <c r="AN33" s="2284">
        <f>$I$33</f>
        <v>0</v>
      </c>
      <c r="AO33" s="1779" t="str">
        <f>$I$33&amp;"."&amp;$M$33</f>
        <v>.</v>
      </c>
      <c r="AP33" s="1771" t="str">
        <f>$I$33&amp;"."&amp;$M$33&amp;"."&amp;$Q$33</f>
        <v>..</v>
      </c>
      <c r="AQ33" s="1771" t="str">
        <f>$I$33&amp;"."&amp;$M$33&amp;"."&amp;$Q$33&amp;"."&amp;$U$33</f>
        <v>...</v>
      </c>
      <c r="AR33" s="1795">
        <v>0</v>
      </c>
    </row>
    <row s="51018" customFormat="1" customHeight="1" ht="17.25" hidden="1">
      <c r="A34" s="833"/>
      <c r="C34" s="832"/>
      <c r="D34" s="2647"/>
      <c r="E34" s="2655"/>
      <c r="F34" s="2658"/>
      <c r="G34" s="2655"/>
      <c r="H34" s="2661"/>
      <c r="I34" s="2663"/>
      <c r="J34" s="2665"/>
      <c r="K34" s="2650"/>
      <c r="L34" s="2650"/>
      <c r="M34" s="2650"/>
      <c r="N34" s="2652"/>
      <c r="O34" s="2650"/>
      <c r="P34" s="2650"/>
      <c r="Q34" s="2650"/>
      <c r="R34" s="2653"/>
      <c r="S34" s="2650"/>
      <c r="T34" s="1809"/>
      <c r="U34" s="1809"/>
      <c r="V34" s="1809"/>
      <c r="W34" s="1810"/>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95">
        <v>0</v>
      </c>
    </row>
    <row s="51018" customFormat="1" customHeight="1" ht="17.25" hidden="1">
      <c r="A35" s="833"/>
      <c r="C35" s="832"/>
      <c r="D35" s="2648"/>
      <c r="E35" s="2656"/>
      <c r="F35" s="2658"/>
      <c r="G35" s="2656"/>
      <c r="H35" s="2661"/>
      <c r="I35" s="2663"/>
      <c r="J35" s="2666"/>
      <c r="K35" s="2650"/>
      <c r="L35" s="2650"/>
      <c r="M35" s="2650"/>
      <c r="N35" s="2653"/>
      <c r="O35" s="2650"/>
      <c r="P35" s="1930"/>
      <c r="Q35" s="1809"/>
      <c r="R35" s="1809"/>
      <c r="S35" s="841"/>
      <c r="T35" s="841"/>
      <c r="U35" s="841"/>
      <c r="V35" s="841"/>
      <c r="W35" s="1810"/>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95">
        <v>0</v>
      </c>
    </row>
    <row s="51018" customFormat="1" customHeight="1" ht="17.25" hidden="1">
      <c r="A36" s="833"/>
      <c r="C36" s="832"/>
      <c r="D36" s="2648"/>
      <c r="E36" s="2656"/>
      <c r="F36" s="2658"/>
      <c r="G36" s="2656"/>
      <c r="H36" s="2661"/>
      <c r="I36" s="2663"/>
      <c r="J36" s="2666"/>
      <c r="K36" s="2650"/>
      <c r="L36" s="1809"/>
      <c r="M36" s="1809"/>
      <c r="N36" s="1809"/>
      <c r="O36" s="1809"/>
      <c r="P36" s="1809"/>
      <c r="Q36" s="1809"/>
      <c r="R36" s="1809"/>
      <c r="S36" s="841"/>
      <c r="T36" s="841"/>
      <c r="U36" s="841"/>
      <c r="V36" s="841"/>
      <c r="W36" s="1810"/>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95">
        <v>0</v>
      </c>
    </row>
    <row s="51018" customFormat="1" customHeight="1" ht="17.25" hidden="1">
      <c r="A37" s="833"/>
      <c r="C37" s="832"/>
      <c r="D37" s="2648"/>
      <c r="E37" s="2656"/>
      <c r="F37" s="2659"/>
      <c r="G37" s="2656"/>
      <c r="H37" s="1811"/>
      <c r="I37" s="1812"/>
      <c r="J37" s="1812"/>
      <c r="K37" s="1812"/>
      <c r="L37" s="1812"/>
      <c r="M37" s="1812"/>
      <c r="N37" s="1812"/>
      <c r="O37" s="1812"/>
      <c r="P37" s="1812"/>
      <c r="Q37" s="1812"/>
      <c r="R37" s="1812"/>
      <c r="S37" s="1813"/>
      <c r="T37" s="1813"/>
      <c r="U37" s="1813"/>
      <c r="V37" s="1813"/>
      <c r="W37" s="1814"/>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95">
        <v>0</v>
      </c>
    </row>
    <row s="51018" customFormat="1" customHeight="1" ht="17.25" hidden="1">
      <c r="A38" s="833"/>
      <c r="C38" s="721"/>
      <c r="D38" s="2647">
        <v>5</v>
      </c>
      <c r="E38" s="2655" t="s">
        <v>238</v>
      </c>
      <c r="F38" s="2657" t="s">
        <v>19</v>
      </c>
      <c r="G38" s="2655"/>
      <c r="H38" s="2660"/>
      <c r="I38" s="2662"/>
      <c r="J38" s="2664"/>
      <c r="K38" s="2649"/>
      <c r="L38" s="2649"/>
      <c r="M38" s="2649"/>
      <c r="N38" s="2651"/>
      <c r="O38" s="2649"/>
      <c r="P38" s="2649"/>
      <c r="Q38" s="2649"/>
      <c r="R38" s="2654"/>
      <c r="S38" s="2649"/>
      <c r="T38" s="1932"/>
      <c r="U38" s="1932"/>
      <c r="V38" s="1931"/>
      <c r="W38" s="1808"/>
      <c r="X38" s="1779"/>
      <c r="Y38" s="1779"/>
      <c r="Z38" s="1779"/>
      <c r="AA38" s="1779"/>
      <c r="AB38" s="1779"/>
      <c r="AC38" s="1779" t="s">
        <v>239</v>
      </c>
      <c r="AD38" s="1779" t="s">
        <v>240</v>
      </c>
      <c r="AE38" s="1779" t="s">
        <v>241</v>
      </c>
      <c r="AF38" s="1779" t="s">
        <v>242</v>
      </c>
      <c r="AG38" s="1779" t="s">
        <v>243</v>
      </c>
      <c r="AH38" s="1779" t="str">
        <f>IF($E$38=0,"",$E$38)</f>
        <v>Тарифы на услуги по передаче тепловой энергии</v>
      </c>
      <c r="AI38" s="1779" t="str">
        <f>IF($G$38=0,"",$G$38)</f>
        <v/>
      </c>
      <c r="AJ38" s="1779" t="str">
        <f>IF($J$38=0,"",$J$38)</f>
        <v/>
      </c>
      <c r="AK38" s="1779" t="str">
        <f>IF($K$38="нет","без дифференциации",IF($N$38=0,"",$N$38))</f>
        <v/>
      </c>
      <c r="AL38" s="1779" t="str">
        <f>IF($O$38="нет","без дифференциации",IF($R$38=0,"",$R$38))</f>
        <v/>
      </c>
      <c r="AM38" s="1779" t="str">
        <f>IF($S$38="нет","без дифференциации",IF($V$38=0,"",$V$38))</f>
        <v/>
      </c>
      <c r="AN38" s="2284">
        <f>$I$38</f>
        <v>0</v>
      </c>
      <c r="AO38" s="1779" t="str">
        <f>$I$38&amp;"."&amp;$M$38</f>
        <v>.</v>
      </c>
      <c r="AP38" s="1771" t="str">
        <f>$I$38&amp;"."&amp;$M$38&amp;"."&amp;$Q$38</f>
        <v>..</v>
      </c>
      <c r="AQ38" s="1771" t="str">
        <f>$I$38&amp;"."&amp;$M$38&amp;"."&amp;$Q$38&amp;"."&amp;$U$38</f>
        <v>...</v>
      </c>
      <c r="AR38" s="1795">
        <v>0</v>
      </c>
    </row>
    <row s="51018" customFormat="1" customHeight="1" ht="17.25" hidden="1">
      <c r="A39" s="833"/>
      <c r="C39" s="832"/>
      <c r="D39" s="2647"/>
      <c r="E39" s="2655"/>
      <c r="F39" s="2658"/>
      <c r="G39" s="2655"/>
      <c r="H39" s="2661"/>
      <c r="I39" s="2663"/>
      <c r="J39" s="2665"/>
      <c r="K39" s="2650"/>
      <c r="L39" s="2650"/>
      <c r="M39" s="2650"/>
      <c r="N39" s="2652"/>
      <c r="O39" s="2650"/>
      <c r="P39" s="2650"/>
      <c r="Q39" s="2650"/>
      <c r="R39" s="2653"/>
      <c r="S39" s="2650"/>
      <c r="T39" s="1809"/>
      <c r="U39" s="1809"/>
      <c r="V39" s="1809"/>
      <c r="W39" s="1810"/>
      <c r="X39" s="1771"/>
      <c r="Y39" s="1771"/>
      <c r="Z39" s="1771"/>
      <c r="AA39" s="1771"/>
      <c r="AB39" s="1771"/>
      <c r="AC39" s="1771"/>
      <c r="AD39" s="1771"/>
      <c r="AE39" s="1771"/>
      <c r="AF39" s="1771"/>
      <c r="AG39" s="1771"/>
      <c r="AH39" s="1771"/>
      <c r="AI39" s="1771"/>
      <c r="AJ39" s="1771"/>
      <c r="AK39" s="1771"/>
      <c r="AL39" s="1771"/>
      <c r="AM39" s="1771"/>
      <c r="AN39" s="1771"/>
      <c r="AO39" s="1771"/>
      <c r="AP39" s="1771"/>
      <c r="AQ39" s="1771"/>
      <c r="AR39" s="1795">
        <v>0</v>
      </c>
    </row>
    <row s="51018" customFormat="1" customHeight="1" ht="17.25" hidden="1">
      <c r="A40" s="833"/>
      <c r="C40" s="832"/>
      <c r="D40" s="2648"/>
      <c r="E40" s="2656"/>
      <c r="F40" s="2658"/>
      <c r="G40" s="2656"/>
      <c r="H40" s="2661"/>
      <c r="I40" s="2663"/>
      <c r="J40" s="2666"/>
      <c r="K40" s="2650"/>
      <c r="L40" s="2650"/>
      <c r="M40" s="2650"/>
      <c r="N40" s="2653"/>
      <c r="O40" s="2650"/>
      <c r="P40" s="1930"/>
      <c r="Q40" s="1809"/>
      <c r="R40" s="1809"/>
      <c r="S40" s="841"/>
      <c r="T40" s="841"/>
      <c r="U40" s="841"/>
      <c r="V40" s="841"/>
      <c r="W40" s="1810"/>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95">
        <v>0</v>
      </c>
    </row>
    <row s="51018" customFormat="1" customHeight="1" ht="17.25" hidden="1">
      <c r="A41" s="833"/>
      <c r="C41" s="832"/>
      <c r="D41" s="2648"/>
      <c r="E41" s="2656"/>
      <c r="F41" s="2658"/>
      <c r="G41" s="2656"/>
      <c r="H41" s="2661"/>
      <c r="I41" s="2663"/>
      <c r="J41" s="2666"/>
      <c r="K41" s="2650"/>
      <c r="L41" s="1809"/>
      <c r="M41" s="1809"/>
      <c r="N41" s="1809"/>
      <c r="O41" s="1809"/>
      <c r="P41" s="1809"/>
      <c r="Q41" s="1809"/>
      <c r="R41" s="1809"/>
      <c r="S41" s="841"/>
      <c r="T41" s="841"/>
      <c r="U41" s="841"/>
      <c r="V41" s="841"/>
      <c r="W41" s="1810"/>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95">
        <v>0</v>
      </c>
    </row>
    <row s="51018" customFormat="1" customHeight="1" ht="17.25" hidden="1">
      <c r="A42" s="833"/>
      <c r="C42" s="832"/>
      <c r="D42" s="2648"/>
      <c r="E42" s="2656"/>
      <c r="F42" s="2659"/>
      <c r="G42" s="2656"/>
      <c r="H42" s="1811"/>
      <c r="I42" s="1812"/>
      <c r="J42" s="1812"/>
      <c r="K42" s="1812"/>
      <c r="L42" s="1812"/>
      <c r="M42" s="1812"/>
      <c r="N42" s="1812"/>
      <c r="O42" s="1812"/>
      <c r="P42" s="1812"/>
      <c r="Q42" s="1812"/>
      <c r="R42" s="1812"/>
      <c r="S42" s="1813"/>
      <c r="T42" s="1813"/>
      <c r="U42" s="1813"/>
      <c r="V42" s="1813"/>
      <c r="W42" s="1814"/>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95">
        <v>0</v>
      </c>
    </row>
    <row s="51018" customFormat="1" customHeight="1" ht="17.25" hidden="1">
      <c r="A43" s="833"/>
      <c r="C43" s="721"/>
      <c r="D43" s="2647">
        <v>6</v>
      </c>
      <c r="E43" s="2655" t="s">
        <v>244</v>
      </c>
      <c r="F43" s="2657" t="s">
        <v>19</v>
      </c>
      <c r="G43" s="2655"/>
      <c r="H43" s="2660"/>
      <c r="I43" s="2662"/>
      <c r="J43" s="2664"/>
      <c r="K43" s="2649"/>
      <c r="L43" s="2649"/>
      <c r="M43" s="2649"/>
      <c r="N43" s="2651"/>
      <c r="O43" s="2649"/>
      <c r="P43" s="2649"/>
      <c r="Q43" s="2649"/>
      <c r="R43" s="2654"/>
      <c r="S43" s="2649"/>
      <c r="T43" s="1932"/>
      <c r="U43" s="1932"/>
      <c r="V43" s="1931"/>
      <c r="W43" s="1808"/>
      <c r="X43" s="1779"/>
      <c r="Y43" s="1779"/>
      <c r="Z43" s="1779"/>
      <c r="AA43" s="1779"/>
      <c r="AB43" s="1779"/>
      <c r="AC43" s="1779" t="s">
        <v>245</v>
      </c>
      <c r="AD43" s="1779" t="s">
        <v>246</v>
      </c>
      <c r="AE43" s="1779" t="s">
        <v>247</v>
      </c>
      <c r="AF43" s="1779" t="s">
        <v>248</v>
      </c>
      <c r="AG43" s="1779" t="s">
        <v>249</v>
      </c>
      <c r="AH43" s="1779" t="str">
        <f>IF($E$43=0,"",$E$43)</f>
        <v>Тарифы на услуги по передаче теплоносителя</v>
      </c>
      <c r="AI43" s="1779" t="str">
        <f>IF($G$43=0,"",$G$43)</f>
        <v/>
      </c>
      <c r="AJ43" s="1779" t="str">
        <f>IF($J$43=0,"",$J$43)</f>
        <v/>
      </c>
      <c r="AK43" s="1779" t="str">
        <f>IF($K$43="нет","без дифференциации",IF($N$43=0,"",$N$43))</f>
        <v/>
      </c>
      <c r="AL43" s="1779" t="str">
        <f>IF($O$43="нет","без дифференциации",IF($R$43=0,"",$R$43))</f>
        <v/>
      </c>
      <c r="AM43" s="1779" t="str">
        <f>IF($S$43="нет","без дифференциации",IF($V$43=0,"",$V$43))</f>
        <v/>
      </c>
      <c r="AN43" s="2284">
        <f>$I$43</f>
        <v>0</v>
      </c>
      <c r="AO43" s="1779" t="str">
        <f>$I$43&amp;"."&amp;$M$43</f>
        <v>.</v>
      </c>
      <c r="AP43" s="1771" t="str">
        <f>$I$43&amp;"."&amp;$M$43&amp;"."&amp;$Q$43</f>
        <v>..</v>
      </c>
      <c r="AQ43" s="1771" t="str">
        <f>$I$43&amp;"."&amp;$M$43&amp;"."&amp;$Q$43&amp;"."&amp;$U$43</f>
        <v>...</v>
      </c>
      <c r="AR43" s="1795">
        <v>0</v>
      </c>
    </row>
    <row s="51018" customFormat="1" customHeight="1" ht="17.25" hidden="1">
      <c r="A44" s="833"/>
      <c r="C44" s="832"/>
      <c r="D44" s="2647"/>
      <c r="E44" s="2655"/>
      <c r="F44" s="2658"/>
      <c r="G44" s="2655"/>
      <c r="H44" s="2661"/>
      <c r="I44" s="2663"/>
      <c r="J44" s="2665"/>
      <c r="K44" s="2650"/>
      <c r="L44" s="2650"/>
      <c r="M44" s="2650"/>
      <c r="N44" s="2652"/>
      <c r="O44" s="2650"/>
      <c r="P44" s="2650"/>
      <c r="Q44" s="2650"/>
      <c r="R44" s="2653"/>
      <c r="S44" s="2650"/>
      <c r="T44" s="1809"/>
      <c r="U44" s="1809"/>
      <c r="V44" s="1809"/>
      <c r="W44" s="1810"/>
      <c r="X44" s="1771"/>
      <c r="Y44" s="1771"/>
      <c r="Z44" s="1771"/>
      <c r="AA44" s="1771"/>
      <c r="AB44" s="1771"/>
      <c r="AC44" s="1771"/>
      <c r="AD44" s="1771"/>
      <c r="AE44" s="1771"/>
      <c r="AF44" s="1771"/>
      <c r="AG44" s="1771"/>
      <c r="AH44" s="1771"/>
      <c r="AI44" s="1771"/>
      <c r="AJ44" s="1771"/>
      <c r="AK44" s="1771"/>
      <c r="AL44" s="1771"/>
      <c r="AM44" s="1771"/>
      <c r="AN44" s="1771"/>
      <c r="AO44" s="1771"/>
      <c r="AP44" s="1771"/>
      <c r="AQ44" s="1771"/>
      <c r="AR44" s="1795">
        <v>0</v>
      </c>
    </row>
    <row s="51018" customFormat="1" customHeight="1" ht="17.25" hidden="1">
      <c r="A45" s="833"/>
      <c r="C45" s="832"/>
      <c r="D45" s="2648"/>
      <c r="E45" s="2656"/>
      <c r="F45" s="2658"/>
      <c r="G45" s="2656"/>
      <c r="H45" s="2661"/>
      <c r="I45" s="2663"/>
      <c r="J45" s="2666"/>
      <c r="K45" s="2650"/>
      <c r="L45" s="2650"/>
      <c r="M45" s="2650"/>
      <c r="N45" s="2653"/>
      <c r="O45" s="2650"/>
      <c r="P45" s="1930"/>
      <c r="Q45" s="1809"/>
      <c r="R45" s="1809"/>
      <c r="S45" s="841"/>
      <c r="T45" s="841"/>
      <c r="U45" s="841"/>
      <c r="V45" s="841"/>
      <c r="W45" s="1810"/>
      <c r="X45" s="1771"/>
      <c r="Y45" s="1771"/>
      <c r="Z45" s="1771"/>
      <c r="AA45" s="1771"/>
      <c r="AB45" s="1771"/>
      <c r="AC45" s="1771"/>
      <c r="AD45" s="1771"/>
      <c r="AE45" s="1771"/>
      <c r="AF45" s="1771"/>
      <c r="AG45" s="1771"/>
      <c r="AH45" s="1771"/>
      <c r="AI45" s="1771"/>
      <c r="AJ45" s="1771"/>
      <c r="AK45" s="1771"/>
      <c r="AL45" s="1771"/>
      <c r="AM45" s="1771"/>
      <c r="AN45" s="1771"/>
      <c r="AO45" s="1771"/>
      <c r="AP45" s="1771"/>
      <c r="AQ45" s="1771"/>
      <c r="AR45" s="1795">
        <v>0</v>
      </c>
    </row>
    <row s="51018" customFormat="1" customHeight="1" ht="17.25" hidden="1">
      <c r="A46" s="833"/>
      <c r="C46" s="721"/>
      <c r="D46" s="2648"/>
      <c r="E46" s="2656"/>
      <c r="F46" s="2658"/>
      <c r="G46" s="2656"/>
      <c r="H46" s="2661"/>
      <c r="I46" s="2663"/>
      <c r="J46" s="2666"/>
      <c r="K46" s="2650"/>
      <c r="L46" s="1809"/>
      <c r="M46" s="1809"/>
      <c r="N46" s="1809"/>
      <c r="O46" s="1809"/>
      <c r="P46" s="1809"/>
      <c r="Q46" s="1809"/>
      <c r="R46" s="1809"/>
      <c r="S46" s="841"/>
      <c r="T46" s="841"/>
      <c r="U46" s="841"/>
      <c r="V46" s="841"/>
      <c r="W46" s="1810"/>
      <c r="Y46" s="1779"/>
      <c r="Z46" s="1779"/>
      <c r="AA46" s="1779"/>
      <c r="AB46" s="1779"/>
      <c r="AC46" s="1779"/>
      <c r="AD46" s="1779"/>
      <c r="AE46" s="1779"/>
      <c r="AF46" s="1779"/>
      <c r="AG46" s="1779"/>
      <c r="AH46" s="1779"/>
      <c r="AI46" s="1779"/>
      <c r="AJ46" s="1779"/>
      <c r="AK46" s="1779"/>
      <c r="AL46" s="1779"/>
      <c r="AM46" s="1779"/>
      <c r="AN46" s="1779"/>
      <c r="AO46" s="1779"/>
      <c r="AP46" s="1779"/>
      <c r="AQ46" s="1779"/>
      <c r="AR46" s="1838">
        <v>0</v>
      </c>
    </row>
    <row s="51018" customFormat="1" customHeight="1" ht="17.25" hidden="1">
      <c r="A47" s="833"/>
      <c r="C47" s="832"/>
      <c r="D47" s="2648"/>
      <c r="E47" s="2656"/>
      <c r="F47" s="2659"/>
      <c r="G47" s="2656"/>
      <c r="H47" s="1811"/>
      <c r="I47" s="1812"/>
      <c r="J47" s="1812"/>
      <c r="K47" s="1812"/>
      <c r="L47" s="1812"/>
      <c r="M47" s="1812"/>
      <c r="N47" s="1812"/>
      <c r="O47" s="1812"/>
      <c r="P47" s="1812"/>
      <c r="Q47" s="1812"/>
      <c r="R47" s="1812"/>
      <c r="S47" s="1813"/>
      <c r="T47" s="1813"/>
      <c r="U47" s="1813"/>
      <c r="V47" s="1813"/>
      <c r="W47" s="1814"/>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95">
        <v>0</v>
      </c>
    </row>
    <row s="51018" customFormat="1" customHeight="1" ht="17.25" hidden="1">
      <c r="A48" s="833"/>
      <c r="C48" s="721"/>
      <c r="D48" s="2678">
        <v>7</v>
      </c>
      <c r="E48" s="2681" t="s">
        <v>250</v>
      </c>
      <c r="F48" s="2657" t="s">
        <v>19</v>
      </c>
      <c r="G48" s="2681"/>
      <c r="H48" s="2660"/>
      <c r="I48" s="2662"/>
      <c r="J48" s="2664"/>
      <c r="K48" s="2649"/>
      <c r="L48" s="2649"/>
      <c r="M48" s="2649"/>
      <c r="N48" s="2651"/>
      <c r="O48" s="2649"/>
      <c r="P48" s="2649"/>
      <c r="Q48" s="2649"/>
      <c r="R48" s="2654"/>
      <c r="S48" s="2649"/>
      <c r="T48" s="1932"/>
      <c r="U48" s="1932"/>
      <c r="V48" s="1931"/>
      <c r="W48" s="1808"/>
      <c r="X48" s="1779"/>
      <c r="Y48" s="1779"/>
      <c r="Z48" s="1779"/>
      <c r="AA48" s="1779"/>
      <c r="AB48" s="1779"/>
      <c r="AC48" s="1779" t="s">
        <v>251</v>
      </c>
      <c r="AD48" s="1779" t="s">
        <v>252</v>
      </c>
      <c r="AE48" s="1779" t="s">
        <v>253</v>
      </c>
      <c r="AF48" s="1779" t="s">
        <v>254</v>
      </c>
      <c r="AG48" s="1779" t="s">
        <v>255</v>
      </c>
      <c r="AH48" s="1779" t="str">
        <f>IF($E$48=0,"",$E$48)</f>
        <v>Плата за услуги по поддержанию резервной тепловой мощности при отсутствии потребления тепловой энергии</v>
      </c>
      <c r="AI48" s="1779" t="str">
        <f>IF($G$48=0,"",$G$48)</f>
        <v/>
      </c>
      <c r="AJ48" s="1779" t="str">
        <f>IF($J$48=0,"",$J$48)</f>
        <v/>
      </c>
      <c r="AK48" s="1779" t="str">
        <f>IF($K$48="нет","без дифференциации",IF($N$48=0,"",$N$48))</f>
        <v/>
      </c>
      <c r="AL48" s="1779" t="str">
        <f>IF($O$48="нет","без дифференциации",IF($R$48=0,"",$R$48))</f>
        <v/>
      </c>
      <c r="AM48" s="1779" t="str">
        <f>IF($S$48="нет","без дифференциации",IF($V$48=0,"",$V$48))</f>
        <v/>
      </c>
      <c r="AN48" s="2284">
        <f>$I$48</f>
        <v>0</v>
      </c>
      <c r="AO48" s="1779" t="str">
        <f>$I$48&amp;"."&amp;$M$48</f>
        <v>.</v>
      </c>
      <c r="AP48" s="1771" t="str">
        <f>$I$48&amp;"."&amp;$M$48&amp;"."&amp;$Q$48</f>
        <v>..</v>
      </c>
      <c r="AQ48" s="1771" t="str">
        <f>$I$48&amp;"."&amp;$M$48&amp;"."&amp;$Q$48&amp;"."&amp;$U$48</f>
        <v>...</v>
      </c>
      <c r="AR48" s="1820">
        <v>0</v>
      </c>
    </row>
    <row s="51018" customFormat="1" customHeight="1" ht="17.25" hidden="1">
      <c r="A49" s="833"/>
      <c r="C49" s="832"/>
      <c r="D49" s="2679"/>
      <c r="E49" s="2682"/>
      <c r="F49" s="2658"/>
      <c r="G49" s="2682"/>
      <c r="H49" s="2661"/>
      <c r="I49" s="2663"/>
      <c r="J49" s="2665"/>
      <c r="K49" s="2650"/>
      <c r="L49" s="2650"/>
      <c r="M49" s="2650"/>
      <c r="N49" s="2652"/>
      <c r="O49" s="2650"/>
      <c r="P49" s="2650"/>
      <c r="Q49" s="2650"/>
      <c r="R49" s="2653"/>
      <c r="S49" s="2650"/>
      <c r="T49" s="1809"/>
      <c r="U49" s="1809"/>
      <c r="V49" s="1809"/>
      <c r="W49" s="1810"/>
      <c r="X49" s="1771"/>
      <c r="Y49" s="1771"/>
      <c r="Z49" s="1771"/>
      <c r="AA49" s="1771"/>
      <c r="AB49" s="1771"/>
      <c r="AC49" s="1771"/>
      <c r="AD49" s="1771"/>
      <c r="AE49" s="1771"/>
      <c r="AF49" s="1771"/>
      <c r="AG49" s="1771"/>
      <c r="AH49" s="1771"/>
      <c r="AI49" s="1771"/>
      <c r="AJ49" s="1771"/>
      <c r="AK49" s="1771"/>
      <c r="AL49" s="1771"/>
      <c r="AM49" s="1771"/>
      <c r="AN49" s="1771"/>
      <c r="AO49" s="1771"/>
      <c r="AP49" s="1771"/>
      <c r="AQ49" s="1771"/>
      <c r="AR49" s="1820">
        <v>0</v>
      </c>
    </row>
    <row s="51018" customFormat="1" customHeight="1" ht="17.25" hidden="1">
      <c r="A50" s="833"/>
      <c r="C50" s="832"/>
      <c r="D50" s="2679"/>
      <c r="E50" s="2682"/>
      <c r="F50" s="2658"/>
      <c r="G50" s="2682"/>
      <c r="H50" s="2661"/>
      <c r="I50" s="2663"/>
      <c r="J50" s="2666"/>
      <c r="K50" s="2650"/>
      <c r="L50" s="2650"/>
      <c r="M50" s="2650"/>
      <c r="N50" s="2653"/>
      <c r="O50" s="2650"/>
      <c r="P50" s="1930"/>
      <c r="Q50" s="1809"/>
      <c r="R50" s="1809"/>
      <c r="S50" s="841"/>
      <c r="T50" s="841"/>
      <c r="U50" s="841"/>
      <c r="V50" s="841"/>
      <c r="W50" s="1810"/>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820">
        <v>0</v>
      </c>
    </row>
    <row s="51018" customFormat="1" customHeight="1" ht="17.25" hidden="1">
      <c r="A51" s="833"/>
      <c r="C51" s="721"/>
      <c r="D51" s="2679"/>
      <c r="E51" s="2682"/>
      <c r="F51" s="2658"/>
      <c r="G51" s="2682"/>
      <c r="H51" s="2661"/>
      <c r="I51" s="2663"/>
      <c r="J51" s="2666"/>
      <c r="K51" s="2650"/>
      <c r="L51" s="1809"/>
      <c r="M51" s="1809"/>
      <c r="N51" s="1809"/>
      <c r="O51" s="1809"/>
      <c r="P51" s="1809"/>
      <c r="Q51" s="1809"/>
      <c r="R51" s="1809"/>
      <c r="S51" s="841"/>
      <c r="T51" s="841"/>
      <c r="U51" s="841"/>
      <c r="V51" s="841"/>
      <c r="W51" s="1810"/>
      <c r="Y51" s="1779"/>
      <c r="Z51" s="1779"/>
      <c r="AA51" s="1779"/>
      <c r="AB51" s="1779"/>
      <c r="AC51" s="1779"/>
      <c r="AD51" s="1779"/>
      <c r="AE51" s="1779"/>
      <c r="AF51" s="1779"/>
      <c r="AG51" s="1779"/>
      <c r="AH51" s="1779"/>
      <c r="AI51" s="1779"/>
      <c r="AJ51" s="1779"/>
      <c r="AK51" s="1779"/>
      <c r="AL51" s="1779"/>
      <c r="AM51" s="1779"/>
      <c r="AN51" s="1779"/>
      <c r="AO51" s="1779"/>
      <c r="AP51" s="1779"/>
      <c r="AQ51" s="1779"/>
      <c r="AR51" s="1838">
        <v>0</v>
      </c>
    </row>
    <row s="51018" customFormat="1" customHeight="1" ht="17.25" hidden="1">
      <c r="A52" s="833"/>
      <c r="C52" s="832"/>
      <c r="D52" s="2680"/>
      <c r="E52" s="2683"/>
      <c r="F52" s="2659"/>
      <c r="G52" s="2683"/>
      <c r="H52" s="1811"/>
      <c r="I52" s="1812"/>
      <c r="J52" s="1812"/>
      <c r="K52" s="1812"/>
      <c r="L52" s="1812"/>
      <c r="M52" s="1812"/>
      <c r="N52" s="1812"/>
      <c r="O52" s="1812"/>
      <c r="P52" s="1812"/>
      <c r="Q52" s="1812"/>
      <c r="R52" s="1812"/>
      <c r="S52" s="1813"/>
      <c r="T52" s="1813"/>
      <c r="U52" s="1813"/>
      <c r="V52" s="1813"/>
      <c r="W52" s="1814"/>
      <c r="X52" s="1771"/>
      <c r="Y52" s="1771"/>
      <c r="Z52" s="1771"/>
      <c r="AA52" s="1771"/>
      <c r="AB52" s="1771"/>
      <c r="AC52" s="1771"/>
      <c r="AD52" s="1771"/>
      <c r="AE52" s="1771"/>
      <c r="AF52" s="1771"/>
      <c r="AG52" s="1771"/>
      <c r="AH52" s="1771"/>
      <c r="AI52" s="1771"/>
      <c r="AJ52" s="1771"/>
      <c r="AK52" s="1771"/>
      <c r="AL52" s="1771"/>
      <c r="AM52" s="1771"/>
      <c r="AN52" s="1771"/>
      <c r="AO52" s="1771"/>
      <c r="AP52" s="1771"/>
      <c r="AQ52" s="1771"/>
      <c r="AR52" s="1820">
        <v>0</v>
      </c>
    </row>
    <row s="51018" customFormat="1" customHeight="1" ht="17.25" hidden="1">
      <c r="A53" s="833"/>
      <c r="C53" s="721"/>
      <c r="D53" s="2647">
        <v>8</v>
      </c>
      <c r="E53" s="2655" t="s">
        <v>256</v>
      </c>
      <c r="F53" s="2657" t="s">
        <v>19</v>
      </c>
      <c r="G53" s="2655"/>
      <c r="H53" s="2660"/>
      <c r="I53" s="2662"/>
      <c r="J53" s="2664"/>
      <c r="K53" s="2649"/>
      <c r="L53" s="2649"/>
      <c r="M53" s="2649"/>
      <c r="N53" s="2651"/>
      <c r="O53" s="2649"/>
      <c r="P53" s="2649"/>
      <c r="Q53" s="2649"/>
      <c r="R53" s="2654"/>
      <c r="S53" s="2649"/>
      <c r="T53" s="1982"/>
      <c r="U53" s="1982"/>
      <c r="V53" s="1984"/>
      <c r="W53" s="1808"/>
      <c r="X53" s="1779"/>
      <c r="Y53" s="1779"/>
      <c r="Z53" s="1779"/>
      <c r="AA53" s="1779"/>
      <c r="AB53" s="1779"/>
      <c r="AC53" s="1779" t="s">
        <v>257</v>
      </c>
      <c r="AD53" s="1779" t="s">
        <v>258</v>
      </c>
      <c r="AE53" s="1779" t="s">
        <v>259</v>
      </c>
      <c r="AF53" s="1779" t="s">
        <v>260</v>
      </c>
      <c r="AG53" s="1779" t="s">
        <v>261</v>
      </c>
      <c r="AH53" s="1779" t="str">
        <f>IF($E$53=0,"",$E$53)</f>
        <v>Плата за подключение (технологическое присоединение) к системе теплоснабжения</v>
      </c>
      <c r="AI53" s="1779" t="str">
        <f>IF($G$53=0,"",$G$53)</f>
        <v/>
      </c>
      <c r="AJ53" s="1779" t="str">
        <f>IF($J$53=0,"",$J$53)</f>
        <v/>
      </c>
      <c r="AK53" s="1779" t="str">
        <f>IF($K$53="нет","без дифференциации",IF($N$53=0,"",$N$53))</f>
        <v/>
      </c>
      <c r="AL53" s="1779" t="str">
        <f>IF($O$53="нет","без дифференциации",IF($R$53=0,"",$R$53))</f>
        <v/>
      </c>
      <c r="AM53" s="1779" t="str">
        <f>IF($S$53="нет","без дифференциации",IF($V$53=0,"",$V$53))</f>
        <v/>
      </c>
      <c r="AN53" s="2284">
        <f>$I$53</f>
        <v>0</v>
      </c>
      <c r="AO53" s="1779" t="str">
        <f>$I$53&amp;"."&amp;$M$53</f>
        <v>.</v>
      </c>
      <c r="AP53" s="1771" t="str">
        <f>$I$53&amp;"."&amp;$M$53&amp;"."&amp;$Q$53</f>
        <v>..</v>
      </c>
      <c r="AQ53" s="1771" t="str">
        <f>$I$53&amp;"."&amp;$M$53&amp;"."&amp;$Q$53&amp;"."&amp;$U$53</f>
        <v>...</v>
      </c>
      <c r="AR53" s="1820">
        <v>0</v>
      </c>
    </row>
    <row s="51018" customFormat="1" customHeight="1" ht="17.25" hidden="1">
      <c r="A54" s="833"/>
      <c r="C54" s="832"/>
      <c r="D54" s="2647"/>
      <c r="E54" s="2655"/>
      <c r="F54" s="2658"/>
      <c r="G54" s="2655"/>
      <c r="H54" s="2661"/>
      <c r="I54" s="2663"/>
      <c r="J54" s="2665"/>
      <c r="K54" s="2650"/>
      <c r="L54" s="2650"/>
      <c r="M54" s="2650"/>
      <c r="N54" s="2652"/>
      <c r="O54" s="2650"/>
      <c r="P54" s="2650"/>
      <c r="Q54" s="2650"/>
      <c r="R54" s="2653"/>
      <c r="S54" s="2650"/>
      <c r="T54" s="1809"/>
      <c r="U54" s="1809"/>
      <c r="V54" s="1809"/>
      <c r="W54" s="1810"/>
      <c r="X54" s="1771"/>
      <c r="Y54" s="1771"/>
      <c r="Z54" s="1771"/>
      <c r="AA54" s="1771"/>
      <c r="AB54" s="1771"/>
      <c r="AC54" s="1771"/>
      <c r="AD54" s="1771"/>
      <c r="AE54" s="1771"/>
      <c r="AF54" s="1771"/>
      <c r="AG54" s="1771"/>
      <c r="AH54" s="1771"/>
      <c r="AI54" s="1771"/>
      <c r="AJ54" s="1771"/>
      <c r="AK54" s="1771"/>
      <c r="AL54" s="1771"/>
      <c r="AM54" s="1771"/>
      <c r="AN54" s="1771"/>
      <c r="AO54" s="1771"/>
      <c r="AP54" s="1771"/>
      <c r="AQ54" s="1771"/>
      <c r="AR54" s="1820">
        <v>0</v>
      </c>
    </row>
    <row s="51018" customFormat="1" customHeight="1" ht="17.25" hidden="1">
      <c r="A55" s="833"/>
      <c r="C55" s="832"/>
      <c r="D55" s="2648"/>
      <c r="E55" s="2656"/>
      <c r="F55" s="2658"/>
      <c r="G55" s="2656"/>
      <c r="H55" s="2661"/>
      <c r="I55" s="2663"/>
      <c r="J55" s="2666"/>
      <c r="K55" s="2650"/>
      <c r="L55" s="2650"/>
      <c r="M55" s="2650"/>
      <c r="N55" s="2653"/>
      <c r="O55" s="2650"/>
      <c r="P55" s="1983"/>
      <c r="Q55" s="1809"/>
      <c r="R55" s="1809"/>
      <c r="S55" s="841"/>
      <c r="T55" s="841"/>
      <c r="U55" s="841"/>
      <c r="V55" s="841"/>
      <c r="W55" s="1810"/>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820">
        <v>0</v>
      </c>
    </row>
    <row s="51018" customFormat="1" customHeight="1" ht="17.25" hidden="1">
      <c r="A56" s="833"/>
      <c r="C56" s="721"/>
      <c r="D56" s="2648"/>
      <c r="E56" s="2656"/>
      <c r="F56" s="2658"/>
      <c r="G56" s="2656"/>
      <c r="H56" s="2661"/>
      <c r="I56" s="2663"/>
      <c r="J56" s="2666"/>
      <c r="K56" s="2650"/>
      <c r="L56" s="1809"/>
      <c r="M56" s="1809"/>
      <c r="N56" s="1809"/>
      <c r="O56" s="1809"/>
      <c r="P56" s="1809"/>
      <c r="Q56" s="1809"/>
      <c r="R56" s="1809"/>
      <c r="S56" s="841"/>
      <c r="T56" s="841"/>
      <c r="U56" s="841"/>
      <c r="V56" s="841"/>
      <c r="W56" s="1810"/>
      <c r="Y56" s="1779"/>
      <c r="Z56" s="1779"/>
      <c r="AA56" s="1779"/>
      <c r="AB56" s="1779"/>
      <c r="AC56" s="1779"/>
      <c r="AD56" s="1779"/>
      <c r="AE56" s="1779"/>
      <c r="AF56" s="1779"/>
      <c r="AG56" s="1779"/>
      <c r="AH56" s="1779"/>
      <c r="AI56" s="1779"/>
      <c r="AJ56" s="1779"/>
      <c r="AK56" s="1779"/>
      <c r="AL56" s="1779"/>
      <c r="AM56" s="1779"/>
      <c r="AN56" s="1779"/>
      <c r="AO56" s="1779"/>
      <c r="AP56" s="1779"/>
      <c r="AQ56" s="1779"/>
      <c r="AR56" s="1838">
        <v>0</v>
      </c>
    </row>
    <row s="51018" customFormat="1" customHeight="1" ht="17.25" hidden="1">
      <c r="A57" s="833"/>
      <c r="C57" s="832"/>
      <c r="D57" s="2648"/>
      <c r="E57" s="2656"/>
      <c r="F57" s="2659"/>
      <c r="G57" s="2656"/>
      <c r="H57" s="1811"/>
      <c r="I57" s="1812"/>
      <c r="J57" s="1812"/>
      <c r="K57" s="1812"/>
      <c r="L57" s="1812"/>
      <c r="M57" s="1812"/>
      <c r="N57" s="1812"/>
      <c r="O57" s="1812"/>
      <c r="P57" s="1812"/>
      <c r="Q57" s="1812"/>
      <c r="R57" s="1812"/>
      <c r="S57" s="1813"/>
      <c r="T57" s="1813"/>
      <c r="U57" s="1813"/>
      <c r="V57" s="1813"/>
      <c r="W57" s="1814"/>
      <c r="X57" s="1771"/>
      <c r="Y57" s="1771"/>
      <c r="Z57" s="1771"/>
      <c r="AA57" s="1771"/>
      <c r="AB57" s="1771"/>
      <c r="AC57" s="1771"/>
      <c r="AD57" s="1771"/>
      <c r="AE57" s="1771"/>
      <c r="AF57" s="1771"/>
      <c r="AG57" s="1771"/>
      <c r="AH57" s="1771"/>
      <c r="AI57" s="1771"/>
      <c r="AJ57" s="1771"/>
      <c r="AK57" s="1771"/>
      <c r="AL57" s="1771"/>
      <c r="AM57" s="1771"/>
      <c r="AN57" s="1771"/>
      <c r="AO57" s="1771"/>
      <c r="AP57" s="1771"/>
      <c r="AQ57" s="1771"/>
      <c r="AR57" s="1820">
        <v>0</v>
      </c>
    </row>
    <row s="51018" customFormat="1" customHeight="1" ht="17.25" hidden="1">
      <c r="A58" s="833"/>
      <c r="C58" s="721"/>
      <c r="D58" s="2647">
        <v>9</v>
      </c>
      <c r="E58" s="2655" t="s">
        <v>262</v>
      </c>
      <c r="F58" s="2657" t="s">
        <v>19</v>
      </c>
      <c r="G58" s="2655"/>
      <c r="H58" s="2660"/>
      <c r="I58" s="2662"/>
      <c r="J58" s="2664"/>
      <c r="K58" s="2649"/>
      <c r="L58" s="2649"/>
      <c r="M58" s="2649"/>
      <c r="N58" s="2651"/>
      <c r="O58" s="2649"/>
      <c r="P58" s="2649"/>
      <c r="Q58" s="2649"/>
      <c r="R58" s="2654"/>
      <c r="S58" s="2649"/>
      <c r="T58" s="2443"/>
      <c r="U58" s="2443"/>
      <c r="V58" s="2445"/>
      <c r="W58" s="1808"/>
      <c r="X58" s="1779"/>
      <c r="Y58" s="1779"/>
      <c r="Z58" s="1779"/>
      <c r="AA58" s="1779"/>
      <c r="AB58" s="1779"/>
      <c r="AC58" s="1779" t="s">
        <v>263</v>
      </c>
      <c r="AD58" s="1779" t="s">
        <v>264</v>
      </c>
      <c r="AE58" s="1779" t="s">
        <v>265</v>
      </c>
      <c r="AF58" s="1779" t="s">
        <v>266</v>
      </c>
      <c r="AG58" s="1779" t="s">
        <v>267</v>
      </c>
      <c r="AH58" s="1779" t="str">
        <f>IF($E$58=0,"",$E$58)</f>
        <v>Плата за подключение (технологическое присоединение) к системе теплоснабжения (индивидуальная)</v>
      </c>
      <c r="AI58" s="1779" t="str">
        <f>IF($G$58=0,"",$G$58)</f>
        <v/>
      </c>
      <c r="AJ58" s="1779" t="str">
        <f>IF($J$58=0,"",$J$58)</f>
        <v/>
      </c>
      <c r="AK58" s="1779" t="str">
        <f>IF($K$58="нет","без дифференциации",IF($N$58=0,"",$N$58))</f>
        <v/>
      </c>
      <c r="AL58" s="1779" t="str">
        <f>IF($O$58="нет","без дифференциации",IF($R$58=0,"",$R$58))</f>
        <v/>
      </c>
      <c r="AM58" s="1779" t="str">
        <f>IF($S$58="нет","без дифференциации",IF($V$58=0,"",$V$58))</f>
        <v/>
      </c>
      <c r="AN58" s="2284">
        <f>$I$58</f>
        <v>0</v>
      </c>
      <c r="AO58" s="1779" t="str">
        <f>$I$58&amp;"."&amp;$M$58</f>
        <v>.</v>
      </c>
      <c r="AP58" s="1778" t="str">
        <f>$I$58&amp;"."&amp;$M$58&amp;"."&amp;$Q$58</f>
        <v>..</v>
      </c>
      <c r="AQ58" s="1778" t="str">
        <f>$I$58&amp;"."&amp;$M$58&amp;"."&amp;$Q$58&amp;"."&amp;$U$58</f>
        <v>...</v>
      </c>
      <c r="AR58" s="1979">
        <v>0</v>
      </c>
    </row>
    <row s="51018" customFormat="1" customHeight="1" ht="17.25" hidden="1">
      <c r="A59" s="833"/>
      <c r="C59" s="832"/>
      <c r="D59" s="2647"/>
      <c r="E59" s="2655"/>
      <c r="F59" s="2658"/>
      <c r="G59" s="2655"/>
      <c r="H59" s="2661"/>
      <c r="I59" s="2663"/>
      <c r="J59" s="2665"/>
      <c r="K59" s="2650"/>
      <c r="L59" s="2650"/>
      <c r="M59" s="2650"/>
      <c r="N59" s="2652"/>
      <c r="O59" s="2650"/>
      <c r="P59" s="2650"/>
      <c r="Q59" s="2650"/>
      <c r="R59" s="2653"/>
      <c r="S59" s="2650"/>
      <c r="T59" s="2446"/>
      <c r="U59" s="2446"/>
      <c r="V59" s="2446"/>
      <c r="W59" s="2447"/>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979">
        <v>0</v>
      </c>
    </row>
    <row s="51018" customFormat="1" customHeight="1" ht="17.25" hidden="1">
      <c r="A60" s="833"/>
      <c r="C60" s="832"/>
      <c r="D60" s="2648"/>
      <c r="E60" s="2656"/>
      <c r="F60" s="2658"/>
      <c r="G60" s="2656"/>
      <c r="H60" s="2661"/>
      <c r="I60" s="2663"/>
      <c r="J60" s="2666"/>
      <c r="K60" s="2650"/>
      <c r="L60" s="2650"/>
      <c r="M60" s="2650"/>
      <c r="N60" s="2653"/>
      <c r="O60" s="2650"/>
      <c r="P60" s="2444"/>
      <c r="Q60" s="2446"/>
      <c r="R60" s="2446"/>
      <c r="S60" s="841"/>
      <c r="T60" s="841"/>
      <c r="U60" s="841"/>
      <c r="V60" s="841"/>
      <c r="W60" s="2447"/>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979">
        <v>0</v>
      </c>
    </row>
    <row s="51018" customFormat="1" customHeight="1" ht="17.25" hidden="1">
      <c r="A61" s="833"/>
      <c r="C61" s="721"/>
      <c r="D61" s="2648"/>
      <c r="E61" s="2656"/>
      <c r="F61" s="2658"/>
      <c r="G61" s="2656"/>
      <c r="H61" s="2661"/>
      <c r="I61" s="2663"/>
      <c r="J61" s="2666"/>
      <c r="K61" s="2650"/>
      <c r="L61" s="2446"/>
      <c r="M61" s="2446"/>
      <c r="N61" s="2446"/>
      <c r="O61" s="2446"/>
      <c r="P61" s="2446"/>
      <c r="Q61" s="2446"/>
      <c r="R61" s="2446"/>
      <c r="S61" s="841"/>
      <c r="T61" s="841"/>
      <c r="U61" s="841"/>
      <c r="V61" s="841"/>
      <c r="W61" s="2447"/>
      <c r="Y61" s="1779"/>
      <c r="Z61" s="1779"/>
      <c r="AA61" s="1779"/>
      <c r="AB61" s="1779"/>
      <c r="AC61" s="1779"/>
      <c r="AD61" s="1779"/>
      <c r="AE61" s="1779"/>
      <c r="AF61" s="1779"/>
      <c r="AG61" s="1779"/>
      <c r="AH61" s="1779"/>
      <c r="AI61" s="1779"/>
      <c r="AJ61" s="1779"/>
      <c r="AK61" s="1779"/>
      <c r="AL61" s="1779"/>
      <c r="AM61" s="1779"/>
      <c r="AN61" s="1779"/>
      <c r="AO61" s="1779"/>
      <c r="AP61" s="1779"/>
      <c r="AQ61" s="1779"/>
      <c r="AR61" s="1979">
        <v>0</v>
      </c>
    </row>
    <row s="51018" customFormat="1" customHeight="1" ht="17.25" hidden="1">
      <c r="A62" s="833"/>
      <c r="C62" s="832"/>
      <c r="D62" s="2648"/>
      <c r="E62" s="2656"/>
      <c r="F62" s="2659"/>
      <c r="G62" s="2656"/>
      <c r="H62" s="1811"/>
      <c r="I62" s="2448"/>
      <c r="J62" s="2448"/>
      <c r="K62" s="2448"/>
      <c r="L62" s="2448"/>
      <c r="M62" s="2448"/>
      <c r="N62" s="2448"/>
      <c r="O62" s="2448"/>
      <c r="P62" s="2448"/>
      <c r="Q62" s="2448"/>
      <c r="R62" s="2448"/>
      <c r="S62" s="1813"/>
      <c r="T62" s="1813"/>
      <c r="U62" s="1813"/>
      <c r="V62" s="1813"/>
      <c r="W62" s="2449"/>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979">
        <v>0</v>
      </c>
    </row>
    <row s="51018" customFormat="1" customHeight="1" ht="17.25" hidden="1">
      <c r="A63" s="833"/>
      <c r="C63" s="721"/>
      <c r="D63" s="2647">
        <v>10</v>
      </c>
      <c r="E63" s="2655" t="s">
        <v>268</v>
      </c>
      <c r="F63" s="2657" t="s">
        <v>19</v>
      </c>
      <c r="G63" s="2655"/>
      <c r="H63" s="2660"/>
      <c r="I63" s="2662"/>
      <c r="J63" s="2664"/>
      <c r="K63" s="2649"/>
      <c r="L63" s="2649"/>
      <c r="M63" s="2649"/>
      <c r="N63" s="2651"/>
      <c r="O63" s="2649"/>
      <c r="P63" s="2649"/>
      <c r="Q63" s="2649"/>
      <c r="R63" s="2654"/>
      <c r="S63" s="2649"/>
      <c r="T63" s="2443"/>
      <c r="U63" s="2443"/>
      <c r="V63" s="2445"/>
      <c r="W63" s="1808"/>
      <c r="X63" s="1779"/>
      <c r="Y63" s="1779"/>
      <c r="Z63" s="1779"/>
      <c r="AA63" s="1779"/>
      <c r="AB63" s="1779"/>
      <c r="AC63" s="1779" t="s">
        <v>269</v>
      </c>
      <c r="AD63" s="1779" t="s">
        <v>270</v>
      </c>
      <c r="AE63" s="1779" t="s">
        <v>271</v>
      </c>
      <c r="AF63" s="1779" t="s">
        <v>272</v>
      </c>
      <c r="AG63" s="1779" t="s">
        <v>273</v>
      </c>
      <c r="AH63" s="1779" t="str">
        <f>IF($E$63=0,"",$E$63)</f>
        <v>Предельный уровень цены на тепловую энергию (мощность), поставляемую теплоснабжающими организациями потребителям</v>
      </c>
      <c r="AI63" s="1779" t="str">
        <f>IF($G$63=0,"",$G$63)</f>
        <v/>
      </c>
      <c r="AJ63" s="1779" t="str">
        <f>IF($J$63=0,"",$J$63)</f>
        <v/>
      </c>
      <c r="AK63" s="1779" t="str">
        <f>IF($K$63="нет","без дифференциации",IF($N$63=0,"",$N$63))</f>
        <v/>
      </c>
      <c r="AL63" s="1779" t="str">
        <f>IF($O$63="нет","без дифференциации",IF($R$63=0,"",$R$63))</f>
        <v/>
      </c>
      <c r="AM63" s="1779" t="str">
        <f>IF($S$63="нет","без дифференциации",IF($V$63=0,"",$V$63))</f>
        <v/>
      </c>
      <c r="AN63" s="2284">
        <f>$I$63</f>
        <v>0</v>
      </c>
      <c r="AO63" s="1779" t="str">
        <f>$I$63&amp;"."&amp;$M$63</f>
        <v>.</v>
      </c>
      <c r="AP63" s="1778" t="str">
        <f>$I$63&amp;"."&amp;$M$63&amp;"."&amp;$Q$63</f>
        <v>..</v>
      </c>
      <c r="AQ63" s="1778" t="str">
        <f>$I$63&amp;"."&amp;$M$63&amp;"."&amp;$Q$63&amp;"."&amp;$U$63</f>
        <v>...</v>
      </c>
      <c r="AR63" s="1979">
        <v>0</v>
      </c>
    </row>
    <row s="51018" customFormat="1" customHeight="1" ht="17.25" hidden="1">
      <c r="A64" s="833"/>
      <c r="C64" s="832"/>
      <c r="D64" s="2647"/>
      <c r="E64" s="2655"/>
      <c r="F64" s="2658"/>
      <c r="G64" s="2655"/>
      <c r="H64" s="2661"/>
      <c r="I64" s="2663"/>
      <c r="J64" s="2665"/>
      <c r="K64" s="2650"/>
      <c r="L64" s="2650"/>
      <c r="M64" s="2650"/>
      <c r="N64" s="2652"/>
      <c r="O64" s="2650"/>
      <c r="P64" s="2650"/>
      <c r="Q64" s="2650"/>
      <c r="R64" s="2653"/>
      <c r="S64" s="2650"/>
      <c r="T64" s="2446"/>
      <c r="U64" s="2446"/>
      <c r="V64" s="2446"/>
      <c r="W64" s="2447"/>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979">
        <v>0</v>
      </c>
    </row>
    <row s="51018" customFormat="1" customHeight="1" ht="17.25" hidden="1">
      <c r="A65" s="833"/>
      <c r="C65" s="832"/>
      <c r="D65" s="2648"/>
      <c r="E65" s="2656"/>
      <c r="F65" s="2658"/>
      <c r="G65" s="2656"/>
      <c r="H65" s="2661"/>
      <c r="I65" s="2663"/>
      <c r="J65" s="2666"/>
      <c r="K65" s="2650"/>
      <c r="L65" s="2650"/>
      <c r="M65" s="2650"/>
      <c r="N65" s="2653"/>
      <c r="O65" s="2650"/>
      <c r="P65" s="2444"/>
      <c r="Q65" s="2446"/>
      <c r="R65" s="2446"/>
      <c r="S65" s="841"/>
      <c r="T65" s="841"/>
      <c r="U65" s="841"/>
      <c r="V65" s="841"/>
      <c r="W65" s="2447"/>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979">
        <v>0</v>
      </c>
    </row>
    <row s="51018" customFormat="1" customHeight="1" ht="17.25" hidden="1">
      <c r="A66" s="833"/>
      <c r="C66" s="721"/>
      <c r="D66" s="2648"/>
      <c r="E66" s="2656"/>
      <c r="F66" s="2658"/>
      <c r="G66" s="2656"/>
      <c r="H66" s="2661"/>
      <c r="I66" s="2663"/>
      <c r="J66" s="2666"/>
      <c r="K66" s="2650"/>
      <c r="L66" s="2446"/>
      <c r="M66" s="2446"/>
      <c r="N66" s="2446"/>
      <c r="O66" s="2446"/>
      <c r="P66" s="2446"/>
      <c r="Q66" s="2446"/>
      <c r="R66" s="2446"/>
      <c r="S66" s="841"/>
      <c r="T66" s="841"/>
      <c r="U66" s="841"/>
      <c r="V66" s="841"/>
      <c r="W66" s="2447"/>
      <c r="Y66" s="1779"/>
      <c r="Z66" s="1779"/>
      <c r="AA66" s="1779"/>
      <c r="AB66" s="1779"/>
      <c r="AC66" s="1779"/>
      <c r="AD66" s="1779"/>
      <c r="AE66" s="1779"/>
      <c r="AF66" s="1779"/>
      <c r="AG66" s="1779"/>
      <c r="AH66" s="1779"/>
      <c r="AI66" s="1779"/>
      <c r="AJ66" s="1779"/>
      <c r="AK66" s="1779"/>
      <c r="AL66" s="1779"/>
      <c r="AM66" s="1779"/>
      <c r="AN66" s="1779"/>
      <c r="AO66" s="1779"/>
      <c r="AP66" s="1779"/>
      <c r="AQ66" s="1779"/>
      <c r="AR66" s="1979">
        <v>0</v>
      </c>
    </row>
    <row s="51018" customFormat="1" customHeight="1" ht="17.25" hidden="1">
      <c r="A67" s="833"/>
      <c r="C67" s="832"/>
      <c r="D67" s="2648"/>
      <c r="E67" s="2656"/>
      <c r="F67" s="2659"/>
      <c r="G67" s="2656"/>
      <c r="H67" s="1811"/>
      <c r="I67" s="2448"/>
      <c r="J67" s="2448"/>
      <c r="K67" s="2448"/>
      <c r="L67" s="2448"/>
      <c r="M67" s="2448"/>
      <c r="N67" s="2448"/>
      <c r="O67" s="2448"/>
      <c r="P67" s="2448"/>
      <c r="Q67" s="2448"/>
      <c r="R67" s="2448"/>
      <c r="S67" s="1813"/>
      <c r="T67" s="1813"/>
      <c r="U67" s="1813"/>
      <c r="V67" s="1813"/>
      <c r="W67" s="2449"/>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979">
        <v>0</v>
      </c>
    </row>
    <row customHeight="1" ht="11.25" hidden="1">
      <c r="AR68" s="616">
        <v>0</v>
      </c>
    </row>
    <row customHeight="1" ht="11.25" hidden="1">
      <c r="E69" s="2686" t="s">
        <v>274</v>
      </c>
      <c r="F69" s="2686"/>
      <c r="G69" s="2686"/>
      <c r="H69" s="2686"/>
      <c r="I69" s="2686"/>
      <c r="J69" s="2686"/>
      <c r="K69" s="2686"/>
      <c r="L69" s="2686"/>
      <c r="M69" s="2686"/>
      <c r="N69" s="2686"/>
      <c r="O69" s="2686"/>
      <c r="P69" s="2686"/>
      <c r="Q69" s="2686"/>
      <c r="R69" s="2686"/>
      <c r="S69" s="2686"/>
      <c r="T69" s="2686"/>
      <c r="U69" s="2686"/>
      <c r="V69" s="2686"/>
      <c r="W69" s="2686"/>
      <c r="AR69" s="616">
        <v>0</v>
      </c>
    </row>
    <row customHeight="1" ht="36.75" hidden="1">
      <c r="E70" s="2684" t="s">
        <v>275</v>
      </c>
      <c r="F70" s="2684"/>
      <c r="G70" s="2685"/>
      <c r="H70" s="2685"/>
      <c r="I70" s="2685"/>
      <c r="J70" s="2685"/>
      <c r="K70" s="2685"/>
      <c r="L70" s="2685"/>
      <c r="M70" s="2685"/>
      <c r="N70" s="2685"/>
      <c r="O70" s="2685"/>
      <c r="P70" s="2685"/>
      <c r="Q70" s="2685"/>
      <c r="R70" s="2685"/>
      <c r="S70" s="2685"/>
      <c r="T70" s="2685"/>
      <c r="U70" s="2685"/>
      <c r="V70" s="2685"/>
      <c r="W70" s="2685"/>
      <c r="AR70" s="616">
        <v>0</v>
      </c>
    </row>
    <row customHeight="1" ht="28.5" hidden="1">
      <c r="E71" s="2684" t="s">
        <v>276</v>
      </c>
      <c r="F71" s="2684"/>
      <c r="G71" s="2685"/>
      <c r="H71" s="2685"/>
      <c r="I71" s="2685"/>
      <c r="J71" s="2685"/>
      <c r="K71" s="2685"/>
      <c r="L71" s="2685"/>
      <c r="M71" s="2685"/>
      <c r="N71" s="2685"/>
      <c r="O71" s="2685"/>
      <c r="P71" s="2685"/>
      <c r="Q71" s="2685"/>
      <c r="R71" s="2685"/>
      <c r="S71" s="2685"/>
      <c r="T71" s="2685"/>
      <c r="U71" s="2685"/>
      <c r="V71" s="2685"/>
      <c r="W71" s="2685"/>
      <c r="AR71" s="616">
        <v>0</v>
      </c>
    </row>
    <row customHeight="1" ht="27" hidden="1">
      <c r="E72" s="2684" t="s">
        <v>277</v>
      </c>
      <c r="F72" s="2684"/>
      <c r="G72" s="2685"/>
      <c r="H72" s="2685"/>
      <c r="I72" s="2685"/>
      <c r="J72" s="2685"/>
      <c r="K72" s="2685"/>
      <c r="L72" s="2685"/>
      <c r="M72" s="2685"/>
      <c r="N72" s="2685"/>
      <c r="O72" s="2685"/>
      <c r="P72" s="2685"/>
      <c r="Q72" s="2685"/>
      <c r="R72" s="2685"/>
      <c r="S72" s="2685"/>
      <c r="T72" s="2685"/>
      <c r="U72" s="2685"/>
      <c r="V72" s="2685"/>
      <c r="W72" s="2685"/>
      <c r="AR72" s="616">
        <v>0</v>
      </c>
    </row>
    <row customHeight="1" ht="17.25" hidden="1">
      <c r="E73" s="2684" t="s">
        <v>278</v>
      </c>
      <c r="F73" s="2684"/>
      <c r="G73" s="2685"/>
      <c r="H73" s="2685"/>
      <c r="I73" s="2685"/>
      <c r="J73" s="2685"/>
      <c r="K73" s="2685"/>
      <c r="L73" s="2685"/>
      <c r="M73" s="2685"/>
      <c r="N73" s="2685"/>
      <c r="O73" s="2685"/>
      <c r="P73" s="2685"/>
      <c r="Q73" s="2685"/>
      <c r="R73" s="2685"/>
      <c r="S73" s="2685"/>
      <c r="T73" s="2685"/>
      <c r="U73" s="2685"/>
      <c r="V73" s="2685"/>
      <c r="W73" s="2685"/>
      <c r="AR73" s="616">
        <v>0</v>
      </c>
    </row>
    <row customHeight="1" ht="15" hidden="1">
      <c r="E74" s="852"/>
      <c r="F74" s="1797"/>
      <c r="G74" s="669"/>
      <c r="H74" s="669"/>
      <c r="I74" s="669"/>
      <c r="J74" s="669"/>
      <c r="K74" s="669"/>
      <c r="L74" s="669"/>
      <c r="M74" s="669"/>
      <c r="N74" s="669"/>
      <c r="O74" s="669"/>
      <c r="P74" s="669"/>
      <c r="Q74" s="669"/>
      <c r="R74" s="669"/>
      <c r="S74" s="669"/>
      <c r="T74" s="669"/>
      <c r="U74" s="669"/>
      <c r="V74" s="669"/>
      <c r="W74" s="669"/>
      <c r="AR74" s="616">
        <v>0</v>
      </c>
    </row>
    <row customHeight="1" ht="15" hidden="1">
      <c r="E75" s="2686" t="s">
        <v>279</v>
      </c>
      <c r="F75" s="2686"/>
      <c r="G75" s="2686"/>
      <c r="H75" s="2686"/>
      <c r="I75" s="2686"/>
      <c r="J75" s="2686"/>
      <c r="K75" s="2686"/>
      <c r="L75" s="2686"/>
      <c r="M75" s="2686"/>
      <c r="N75" s="2686"/>
      <c r="O75" s="2686"/>
      <c r="P75" s="2686"/>
      <c r="Q75" s="2686"/>
      <c r="R75" s="2686"/>
      <c r="S75" s="2686"/>
      <c r="T75" s="2686"/>
      <c r="U75" s="2686"/>
      <c r="V75" s="2686"/>
      <c r="W75" s="2686"/>
      <c r="AR75" s="616">
        <v>0</v>
      </c>
    </row>
    <row customHeight="1" ht="17.25" hidden="1">
      <c r="E76" s="2684" t="s">
        <v>280</v>
      </c>
      <c r="F76" s="2684"/>
      <c r="G76" s="2685"/>
      <c r="H76" s="2685"/>
      <c r="I76" s="2685"/>
      <c r="J76" s="2685"/>
      <c r="K76" s="2685"/>
      <c r="L76" s="2685"/>
      <c r="M76" s="2685"/>
      <c r="N76" s="2685"/>
      <c r="O76" s="2685"/>
      <c r="P76" s="2685"/>
      <c r="Q76" s="2685"/>
      <c r="R76" s="2685"/>
      <c r="S76" s="2685"/>
      <c r="T76" s="2685"/>
      <c r="U76" s="2685"/>
      <c r="V76" s="2685"/>
      <c r="W76" s="2685"/>
      <c r="AR76" s="616">
        <v>0</v>
      </c>
    </row>
    <row customHeight="1" ht="17.25" hidden="1">
      <c r="E77" s="2684" t="s">
        <v>281</v>
      </c>
      <c r="F77" s="2684"/>
      <c r="G77" s="2685"/>
      <c r="H77" s="2685"/>
      <c r="I77" s="2685"/>
      <c r="J77" s="2685"/>
      <c r="K77" s="2685"/>
      <c r="L77" s="2685"/>
      <c r="M77" s="2685"/>
      <c r="N77" s="2685"/>
      <c r="O77" s="2685"/>
      <c r="P77" s="2685"/>
      <c r="Q77" s="2685"/>
      <c r="R77" s="2685"/>
      <c r="S77" s="2685"/>
      <c r="T77" s="2685"/>
      <c r="U77" s="2685"/>
      <c r="V77" s="2685"/>
      <c r="W77" s="2685"/>
      <c r="AR77" s="616">
        <v>0</v>
      </c>
    </row>
    <row s="51018" customFormat="1" customHeight="1" ht="11.25" hidden="1">
      <c r="A78" s="789"/>
      <c r="B78" s="789"/>
      <c r="Y78" s="1771"/>
      <c r="Z78" s="1771"/>
      <c r="AA78" s="1771"/>
      <c r="AB78" s="1771"/>
      <c r="AC78" s="1771"/>
      <c r="AD78" s="1771"/>
      <c r="AE78" s="1771"/>
      <c r="AF78" s="1771"/>
      <c r="AG78" s="1771"/>
      <c r="AH78" s="1771"/>
      <c r="AI78" s="1771"/>
      <c r="AJ78" s="1771"/>
      <c r="AK78" s="1771"/>
      <c r="AL78" s="1771"/>
      <c r="AM78" s="1771"/>
      <c r="AN78" s="1771"/>
      <c r="AO78" s="1771"/>
      <c r="AP78" s="1771"/>
      <c r="AQ78" s="1771"/>
      <c r="AR78" s="1862">
        <v>0</v>
      </c>
    </row>
    <row s="51018" customFormat="1" customHeight="1" ht="17.25">
      <c r="A79" s="833"/>
      <c r="C79" s="721"/>
      <c r="D79" s="2647">
        <v>1</v>
      </c>
      <c r="E79" s="2655" t="s">
        <v>282</v>
      </c>
      <c r="F79" s="2657" t="s">
        <v>63</v>
      </c>
      <c r="G79" s="6953" t="str">
        <f>INDEX(VD_NAME_LIST,MATCH("4189671",VD_ID_LIST,0))</f>
        <v>Холодное водоснабжение. Питьевая вода</v>
      </c>
      <c r="H79" s="6954"/>
      <c r="I79" s="6954">
        <v>1</v>
      </c>
      <c r="J79" s="6955" t="s">
        <v>283</v>
      </c>
      <c r="K79" s="6956" t="s">
        <v>63</v>
      </c>
      <c r="L79" s="6957"/>
      <c r="M79" s="6957" t="s">
        <v>101</v>
      </c>
      <c r="N79" s="6958" t="str">
        <f>IF(Z79="","",INDEX(TERRITORY_MR_LIST,MATCH(Z79,TERRITORY_LIST_ID,0)))</f>
        <v>Территория 1</v>
      </c>
      <c r="O79" s="6956" t="s">
        <v>63</v>
      </c>
      <c r="P79" s="6957"/>
      <c r="Q79" s="6957" t="s">
        <v>101</v>
      </c>
      <c r="R79" s="6959" t="s">
        <v>284</v>
      </c>
      <c r="S79" s="6960" t="s">
        <v>19</v>
      </c>
      <c r="T79" s="6960"/>
      <c r="U79" s="6960" t="s">
        <v>101</v>
      </c>
      <c r="V79" s="6961"/>
      <c r="W79" s="6955"/>
      <c r="Y79" s="1779"/>
      <c r="Z79" s="1779" t="s">
        <v>100</v>
      </c>
      <c r="AA79" s="1779"/>
      <c r="AB79" s="1779" t="s">
        <v>285</v>
      </c>
      <c r="AC79" s="1779" t="s">
        <v>286</v>
      </c>
      <c r="AD79" s="1779" t="s">
        <v>287</v>
      </c>
      <c r="AE79" s="1779" t="s">
        <v>288</v>
      </c>
      <c r="AF79" s="1779" t="s">
        <v>289</v>
      </c>
      <c r="AG79" s="1779"/>
      <c r="AH79" s="1779" t="str">
        <f>IF($E$79=0,"",$E$79)</f>
        <v>Тариф на питьевую воду (питьевое водоснабжение)</v>
      </c>
      <c r="AI79" s="1779" t="str">
        <f>IF($G$79=0,"",$G$79)</f>
        <v>Холодное водоснабжение. Питьевая вода</v>
      </c>
      <c r="AJ79" s="1779" t="str">
        <f>IF($J$79=0,"",$J$79)</f>
        <v>Тариф на питьевую воду для потребителей КГУП "Примтеплоэнерго"</v>
      </c>
      <c r="AK79" s="1779" t="str">
        <f>IF($K$79="нет","без дифференциации",IF($N$79=0,"",$N$79))</f>
        <v>Территория 1</v>
      </c>
      <c r="AL79" s="1779" t="str">
        <f>IF($O$79="нет","без дифференциации",IF($R$79=0,"",$R$79))</f>
        <v>с. Анучино, с. Новогордеевка</v>
      </c>
      <c r="AM79" s="1779" t="str">
        <f>IF($S$79="нет","без дифференциации",IF($V$79=0,"",$V$79))</f>
        <v>без дифференциации</v>
      </c>
      <c r="AN79" s="1779">
        <f>$I$79</f>
        <v>1</v>
      </c>
      <c r="AO79" s="1779" t="str">
        <f>$I$79&amp;"."&amp;$M$79</f>
        <v>1.1</v>
      </c>
      <c r="AP79" s="1779" t="str">
        <f>$I$79&amp;"."&amp;$M$79&amp;"."&amp;$Q$79</f>
        <v>1.1.1</v>
      </c>
      <c r="AQ79" s="1779" t="str">
        <f>$I$79&amp;"."&amp;$M$79&amp;"."&amp;$Q$79&amp;"."&amp;$U$79</f>
        <v>1.1.1.1</v>
      </c>
      <c r="AR79" s="1862">
        <v>0</v>
      </c>
    </row>
    <row s="51018" customFormat="1" customHeight="1" ht="17.25">
      <c r="A80" s="833"/>
      <c r="C80" s="832"/>
      <c r="D80" s="2647"/>
      <c r="E80" s="2655"/>
      <c r="F80" s="2658"/>
      <c r="G80" s="6953"/>
      <c r="H80" s="6954"/>
      <c r="I80" s="6954"/>
      <c r="J80" s="6955"/>
      <c r="K80" s="6962"/>
      <c r="L80" s="6957"/>
      <c r="M80" s="6957"/>
      <c r="N80" s="6958"/>
      <c r="O80" s="6962"/>
      <c r="P80" s="6957"/>
      <c r="Q80" s="6957"/>
      <c r="R80" s="6959"/>
      <c r="S80" s="6960"/>
      <c r="T80" s="6963"/>
      <c r="U80" s="6964"/>
      <c r="V80" s="6964"/>
      <c r="W80" s="6955"/>
      <c r="Y80" s="1771"/>
      <c r="Z80" s="1771"/>
      <c r="AA80" s="1771"/>
      <c r="AB80" s="1771"/>
      <c r="AC80" s="1771"/>
      <c r="AD80" s="1771"/>
      <c r="AE80" s="1771"/>
      <c r="AF80" s="1771"/>
      <c r="AG80" s="1771"/>
      <c r="AH80" s="1771"/>
      <c r="AI80" s="1771"/>
      <c r="AJ80" s="1771"/>
      <c r="AK80" s="1771"/>
      <c r="AL80" s="1771"/>
      <c r="AM80" s="1771"/>
      <c r="AN80" s="1771"/>
      <c r="AO80" s="1771"/>
      <c r="AP80" s="1771"/>
      <c r="AQ80" s="1771"/>
      <c r="AR80" s="1862">
        <v>0</v>
      </c>
    </row>
    <row s="51018" customFormat="1" customHeight="1" ht="17.25">
      <c r="A81" s="833"/>
      <c r="C81" s="721"/>
      <c r="D81" s="2647"/>
      <c r="E81" s="2655"/>
      <c r="F81" s="2658"/>
      <c r="G81" s="6953"/>
      <c r="H81" s="6965"/>
      <c r="I81" s="6965"/>
      <c r="J81" s="6966"/>
      <c r="K81" s="6962"/>
      <c r="L81" s="6965"/>
      <c r="M81" s="6965"/>
      <c r="N81" s="6967"/>
      <c r="O81" s="6968"/>
      <c r="P81" s="6969"/>
      <c r="Q81" s="6970"/>
      <c r="R81" s="6971" t="s">
        <v>290</v>
      </c>
      <c r="S81" s="6972"/>
      <c r="T81" s="6973"/>
      <c r="U81" s="6974"/>
      <c r="V81" s="6975"/>
      <c r="W81" s="6976"/>
      <c r="Y81" s="1779"/>
      <c r="Z81" s="1779"/>
      <c r="AA81" s="1779"/>
      <c r="AB81" s="1779"/>
      <c r="AC81" s="1779"/>
      <c r="AD81" s="1779"/>
      <c r="AE81" s="1779"/>
      <c r="AF81" s="1779"/>
      <c r="AG81" s="1779"/>
      <c r="AH81" s="1779"/>
      <c r="AI81" s="1779"/>
      <c r="AJ81" s="1779"/>
      <c r="AK81" s="1779"/>
      <c r="AL81" s="1779"/>
      <c r="AM81" s="1779"/>
      <c r="AN81" s="1779"/>
      <c r="AO81" s="1779"/>
      <c r="AP81" s="1779"/>
      <c r="AQ81" s="1779"/>
      <c r="AR81" s="1953">
        <v>0</v>
      </c>
    </row>
    <row customHeight="1" ht="17.25">
      <c r="A82" s="2352"/>
      <c r="B82" s="20291"/>
      <c r="C82" s="2354"/>
      <c r="D82" s="2342"/>
      <c r="E82" s="2359"/>
      <c r="F82" s="2296"/>
      <c r="G82" s="2360"/>
      <c r="H82" s="2342"/>
      <c r="I82" s="2342"/>
      <c r="J82" s="2363"/>
      <c r="K82" s="2360"/>
      <c r="L82" s="2620" t="s">
        <v>106</v>
      </c>
      <c r="M82" s="2620" t="s">
        <v>105</v>
      </c>
      <c r="N82" s="3016" t="str">
        <f>IF(Z82="","",INDEX(TERRITORY_MR_LIST,MATCH(Z82,TERRITORY_LIST_ID,0)))</f>
        <v>Территория 2</v>
      </c>
      <c r="O82" s="2697" t="s">
        <v>63</v>
      </c>
      <c r="P82" s="2620"/>
      <c r="Q82" s="2620" t="s">
        <v>101</v>
      </c>
      <c r="R82" s="3014" t="s">
        <v>291</v>
      </c>
      <c r="S82" s="2918" t="s">
        <v>19</v>
      </c>
      <c r="T82" s="2314"/>
      <c r="U82" s="2314" t="s">
        <v>101</v>
      </c>
      <c r="V82" s="1946"/>
      <c r="W82" s="3013"/>
      <c r="X82" s="20291"/>
      <c r="Y82" s="1779"/>
      <c r="Z82" s="1779" t="s">
        <v>107</v>
      </c>
      <c r="AA82" s="1779"/>
      <c r="AB82" s="1779"/>
      <c r="AC82" s="20305" t="s">
        <v>286</v>
      </c>
      <c r="AD82" s="20305" t="s">
        <v>287</v>
      </c>
      <c r="AE82" s="1779" t="s">
        <v>292</v>
      </c>
      <c r="AF82" s="1779" t="s">
        <v>293</v>
      </c>
      <c r="AG82" s="1779" t="s">
        <v>294</v>
      </c>
      <c r="AH82" s="1779" t="str">
        <f>IF($E$79=0,"",$E$79)</f>
        <v>Тариф на питьевую воду (питьевое водоснабжение)</v>
      </c>
      <c r="AI82" s="1779" t="str">
        <f>IF($G$79=0,"",$G$79)</f>
        <v>Холодное водоснабжение. Питьевая вода</v>
      </c>
      <c r="AJ82" s="1779" t="str">
        <f>IF($J$79=0,"",$J$79)</f>
        <v>Тариф на питьевую воду для потребителей КГУП "Примтеплоэнерго"</v>
      </c>
      <c r="AK82" s="1779" t="str">
        <f>IF($K$82="нет","без дифференциации",IF($N$82=0,"",$N$82))</f>
        <v>Территория 2</v>
      </c>
      <c r="AL82" s="2356" t="str">
        <f>IF($O$82="нет","без дифференциации",IF($R$82=0,"",$R$82))</f>
        <v>с. Глубинное</v>
      </c>
      <c r="AM82" s="2356"/>
      <c r="AN82" s="1779">
        <f>$I$79</f>
        <v>1</v>
      </c>
      <c r="AO82" s="1779" t="str">
        <f>$I$79&amp;"."&amp;$M$82</f>
        <v>1.2</v>
      </c>
      <c r="AP82" s="1779" t="str">
        <f>$I$79&amp;"."&amp;$M$82&amp;"."&amp;$Q$82</f>
        <v>1.2.1</v>
      </c>
      <c r="AQ82" s="1779"/>
      <c r="AR82" s="20291"/>
    </row>
    <row customHeight="1" ht="17.25">
      <c r="A83" s="2352"/>
      <c r="B83" s="20291"/>
      <c r="C83" s="2357"/>
      <c r="D83" s="2342"/>
      <c r="E83" s="2359"/>
      <c r="F83" s="2296"/>
      <c r="G83" s="2360"/>
      <c r="H83" s="2342"/>
      <c r="I83" s="2342"/>
      <c r="J83" s="2363"/>
      <c r="K83" s="2360"/>
      <c r="L83" s="2620"/>
      <c r="M83" s="2620"/>
      <c r="N83" s="3016"/>
      <c r="O83" s="2698"/>
      <c r="P83" s="2620"/>
      <c r="Q83" s="2620"/>
      <c r="R83" s="3014"/>
      <c r="S83" s="2918"/>
      <c r="T83" s="1947"/>
      <c r="U83" s="1948"/>
      <c r="V83" s="1948"/>
      <c r="W83" s="3013"/>
      <c r="X83" s="20291"/>
      <c r="Y83" s="1771"/>
      <c r="Z83" s="1771"/>
      <c r="AA83" s="1771"/>
      <c r="AB83" s="1771"/>
      <c r="AC83" s="1771"/>
      <c r="AD83" s="1771"/>
      <c r="AE83" s="1771"/>
      <c r="AF83" s="1771"/>
      <c r="AG83" s="1771"/>
      <c r="AH83" s="1771"/>
      <c r="AI83" s="1771"/>
      <c r="AJ83" s="1771"/>
      <c r="AK83" s="1771"/>
      <c r="AL83" s="20291"/>
      <c r="AM83" s="20291"/>
      <c r="AN83" s="20291"/>
      <c r="AO83" s="20291"/>
      <c r="AP83" s="20291"/>
      <c r="AQ83" s="20291"/>
      <c r="AR83" s="20291"/>
    </row>
    <row customHeight="1" ht="17.25">
      <c r="A84" s="2352"/>
      <c r="B84" s="20291"/>
      <c r="C84" s="2357"/>
      <c r="D84" s="2342"/>
      <c r="E84" s="2359"/>
      <c r="F84" s="2296"/>
      <c r="G84" s="2360"/>
      <c r="H84" s="2342"/>
      <c r="I84" s="2342"/>
      <c r="J84" s="2363"/>
      <c r="K84" s="2360"/>
      <c r="L84" s="3015"/>
      <c r="M84" s="3015"/>
      <c r="N84" s="3017"/>
      <c r="O84" s="2624"/>
      <c r="P84" s="829"/>
      <c r="Q84" s="830"/>
      <c r="R84" s="830" t="s">
        <v>290</v>
      </c>
      <c r="S84" s="2358"/>
      <c r="T84" s="2358"/>
      <c r="U84" s="2358"/>
      <c r="V84" s="2358"/>
      <c r="W84" s="1945"/>
      <c r="X84" s="20291"/>
      <c r="Y84" s="1771"/>
      <c r="Z84" s="1771"/>
      <c r="AA84" s="1771"/>
      <c r="AB84" s="1771"/>
      <c r="AC84" s="1771"/>
      <c r="AD84" s="1771"/>
      <c r="AE84" s="1771"/>
      <c r="AF84" s="1771"/>
      <c r="AG84" s="1771"/>
      <c r="AH84" s="1771"/>
      <c r="AI84" s="1771"/>
      <c r="AJ84" s="1771"/>
      <c r="AK84" s="1771"/>
      <c r="AL84" s="20291"/>
      <c r="AM84" s="20291"/>
      <c r="AN84" s="20291"/>
      <c r="AO84" s="20291"/>
      <c r="AP84" s="20291"/>
      <c r="AQ84" s="20291"/>
      <c r="AR84" s="20291"/>
    </row>
    <row customHeight="1" ht="17.25">
      <c r="A85" s="2352"/>
      <c r="B85" s="20291"/>
      <c r="C85" s="2354"/>
      <c r="D85" s="2342"/>
      <c r="E85" s="2359"/>
      <c r="F85" s="2296"/>
      <c r="G85" s="2360"/>
      <c r="H85" s="2342"/>
      <c r="I85" s="2342"/>
      <c r="J85" s="2363"/>
      <c r="K85" s="2360"/>
      <c r="L85" s="2620" t="s">
        <v>106</v>
      </c>
      <c r="M85" s="2620" t="s">
        <v>92</v>
      </c>
      <c r="N85" s="3016" t="str">
        <f>IF(Z85="","",INDEX(TERRITORY_MR_LIST,MATCH(Z85,TERRITORY_LIST_ID,0)))</f>
        <v>Территория 3</v>
      </c>
      <c r="O85" s="2697" t="s">
        <v>63</v>
      </c>
      <c r="P85" s="2620"/>
      <c r="Q85" s="2620" t="s">
        <v>101</v>
      </c>
      <c r="R85" s="3014" t="s">
        <v>295</v>
      </c>
      <c r="S85" s="2918" t="s">
        <v>19</v>
      </c>
      <c r="T85" s="2314"/>
      <c r="U85" s="2314" t="s">
        <v>101</v>
      </c>
      <c r="V85" s="1946"/>
      <c r="W85" s="3013"/>
      <c r="X85" s="20291"/>
      <c r="Y85" s="1779"/>
      <c r="Z85" s="1779" t="s">
        <v>112</v>
      </c>
      <c r="AA85" s="1779"/>
      <c r="AB85" s="1779"/>
      <c r="AC85" s="20305" t="s">
        <v>286</v>
      </c>
      <c r="AD85" s="20305" t="s">
        <v>287</v>
      </c>
      <c r="AE85" s="1779" t="s">
        <v>296</v>
      </c>
      <c r="AF85" s="1779" t="s">
        <v>297</v>
      </c>
      <c r="AG85" s="1779" t="s">
        <v>298</v>
      </c>
      <c r="AH85" s="1779" t="str">
        <f>IF($E$79=0,"",$E$79)</f>
        <v>Тариф на питьевую воду (питьевое водоснабжение)</v>
      </c>
      <c r="AI85" s="1779" t="str">
        <f>IF($G$79=0,"",$G$79)</f>
        <v>Холодное водоснабжение. Питьевая вода</v>
      </c>
      <c r="AJ85" s="1779" t="str">
        <f>IF($J$79=0,"",$J$79)</f>
        <v>Тариф на питьевую воду для потребителей КГУП "Примтеплоэнерго"</v>
      </c>
      <c r="AK85" s="1779" t="str">
        <f>IF($K$85="нет","без дифференциации",IF($N$85=0,"",$N$85))</f>
        <v>Территория 3</v>
      </c>
      <c r="AL85" s="2356" t="str">
        <f>IF($O$85="нет","без дифференциации",IF($R$85=0,"",$R$85))</f>
        <v>пгт. Новошахтинский, с. Павловка</v>
      </c>
      <c r="AM85" s="2356"/>
      <c r="AN85" s="1779">
        <f>$I$79</f>
        <v>1</v>
      </c>
      <c r="AO85" s="1779" t="str">
        <f>$I$79&amp;"."&amp;$M$85</f>
        <v>1.3</v>
      </c>
      <c r="AP85" s="1779" t="str">
        <f>$I$79&amp;"."&amp;$M$85&amp;"."&amp;$Q$85</f>
        <v>1.3.1</v>
      </c>
      <c r="AQ85" s="1779"/>
      <c r="AR85" s="20291"/>
    </row>
    <row customHeight="1" ht="17.25">
      <c r="A86" s="2352"/>
      <c r="B86" s="20291"/>
      <c r="C86" s="2357"/>
      <c r="D86" s="2342"/>
      <c r="E86" s="2359"/>
      <c r="F86" s="2296"/>
      <c r="G86" s="2360"/>
      <c r="H86" s="2342"/>
      <c r="I86" s="2342"/>
      <c r="J86" s="2363"/>
      <c r="K86" s="2360"/>
      <c r="L86" s="2620"/>
      <c r="M86" s="2620"/>
      <c r="N86" s="3016"/>
      <c r="O86" s="2698"/>
      <c r="P86" s="2620"/>
      <c r="Q86" s="2620"/>
      <c r="R86" s="3014"/>
      <c r="S86" s="2918"/>
      <c r="T86" s="1947"/>
      <c r="U86" s="1948"/>
      <c r="V86" s="1948"/>
      <c r="W86" s="3013"/>
      <c r="X86" s="20291"/>
      <c r="Y86" s="1771"/>
      <c r="Z86" s="1771"/>
      <c r="AA86" s="1771"/>
      <c r="AB86" s="1771"/>
      <c r="AC86" s="1771"/>
      <c r="AD86" s="1771"/>
      <c r="AE86" s="1771"/>
      <c r="AF86" s="1771"/>
      <c r="AG86" s="1771"/>
      <c r="AH86" s="1771"/>
      <c r="AI86" s="1771"/>
      <c r="AJ86" s="1771"/>
      <c r="AK86" s="1771"/>
      <c r="AL86" s="20291"/>
      <c r="AM86" s="20291"/>
      <c r="AN86" s="20291"/>
      <c r="AO86" s="20291"/>
      <c r="AP86" s="20291"/>
      <c r="AQ86" s="20291"/>
      <c r="AR86" s="20291"/>
    </row>
    <row customHeight="1" ht="17.25">
      <c r="A87" s="2352"/>
      <c r="B87" s="20291"/>
      <c r="C87" s="2357"/>
      <c r="D87" s="2342"/>
      <c r="E87" s="2359"/>
      <c r="F87" s="2296"/>
      <c r="G87" s="2360"/>
      <c r="H87" s="2342"/>
      <c r="I87" s="2342"/>
      <c r="J87" s="2363"/>
      <c r="K87" s="2360"/>
      <c r="L87" s="3015"/>
      <c r="M87" s="3015"/>
      <c r="N87" s="3017"/>
      <c r="O87" s="2624"/>
      <c r="P87" s="829"/>
      <c r="Q87" s="830"/>
      <c r="R87" s="830" t="s">
        <v>290</v>
      </c>
      <c r="S87" s="2358"/>
      <c r="T87" s="2358"/>
      <c r="U87" s="2358"/>
      <c r="V87" s="2358"/>
      <c r="W87" s="1945"/>
      <c r="X87" s="20291"/>
      <c r="Y87" s="1771"/>
      <c r="Z87" s="1771"/>
      <c r="AA87" s="1771"/>
      <c r="AB87" s="1771"/>
      <c r="AC87" s="1771"/>
      <c r="AD87" s="1771"/>
      <c r="AE87" s="1771"/>
      <c r="AF87" s="1771"/>
      <c r="AG87" s="1771"/>
      <c r="AH87" s="1771"/>
      <c r="AI87" s="1771"/>
      <c r="AJ87" s="1771"/>
      <c r="AK87" s="1771"/>
      <c r="AL87" s="20291"/>
      <c r="AM87" s="20291"/>
      <c r="AN87" s="20291"/>
      <c r="AO87" s="20291"/>
      <c r="AP87" s="20291"/>
      <c r="AQ87" s="20291"/>
      <c r="AR87" s="20291"/>
    </row>
    <row customHeight="1" ht="17.25">
      <c r="A88" s="2352"/>
      <c r="B88" s="20291"/>
      <c r="C88" s="2354"/>
      <c r="D88" s="2342"/>
      <c r="E88" s="2359"/>
      <c r="F88" s="2296"/>
      <c r="G88" s="2360"/>
      <c r="H88" s="2342"/>
      <c r="I88" s="2342"/>
      <c r="J88" s="2363"/>
      <c r="K88" s="2360"/>
      <c r="L88" s="2620" t="s">
        <v>106</v>
      </c>
      <c r="M88" s="2620" t="s">
        <v>93</v>
      </c>
      <c r="N88" s="3016" t="str">
        <f>IF(Z88="","",INDEX(TERRITORY_MR_LIST,MATCH(Z88,TERRITORY_LIST_ID,0)))</f>
        <v>Территория 4</v>
      </c>
      <c r="O88" s="2697" t="s">
        <v>63</v>
      </c>
      <c r="P88" s="2620"/>
      <c r="Q88" s="2620" t="s">
        <v>101</v>
      </c>
      <c r="R88" s="3014" t="s">
        <v>299</v>
      </c>
      <c r="S88" s="2918" t="s">
        <v>19</v>
      </c>
      <c r="T88" s="2314"/>
      <c r="U88" s="2314" t="s">
        <v>101</v>
      </c>
      <c r="V88" s="1946"/>
      <c r="W88" s="3013"/>
      <c r="X88" s="20291"/>
      <c r="Y88" s="1779"/>
      <c r="Z88" s="1779" t="s">
        <v>117</v>
      </c>
      <c r="AA88" s="1779"/>
      <c r="AB88" s="1779"/>
      <c r="AC88" s="20305" t="s">
        <v>286</v>
      </c>
      <c r="AD88" s="20305" t="s">
        <v>287</v>
      </c>
      <c r="AE88" s="1779" t="s">
        <v>300</v>
      </c>
      <c r="AF88" s="1779" t="s">
        <v>301</v>
      </c>
      <c r="AG88" s="1779" t="s">
        <v>302</v>
      </c>
      <c r="AH88" s="1779" t="str">
        <f>IF($E$79=0,"",$E$79)</f>
        <v>Тариф на питьевую воду (питьевое водоснабжение)</v>
      </c>
      <c r="AI88" s="1779" t="str">
        <f>IF($G$79=0,"",$G$79)</f>
        <v>Холодное водоснабжение. Питьевая вода</v>
      </c>
      <c r="AJ88" s="1779" t="str">
        <f>IF($J$79=0,"",$J$79)</f>
        <v>Тариф на питьевую воду для потребителей КГУП "Примтеплоэнерго"</v>
      </c>
      <c r="AK88" s="1779" t="str">
        <f>IF($K$88="нет","без дифференциации",IF($N$88=0,"",$N$88))</f>
        <v>Территория 4</v>
      </c>
      <c r="AL88" s="2356" t="str">
        <f>IF($O$88="нет","без дифференциации",IF($R$88=0,"",$R$88))</f>
        <v>Кавалеровский МО</v>
      </c>
      <c r="AM88" s="2356"/>
      <c r="AN88" s="1779">
        <f>$I$79</f>
        <v>1</v>
      </c>
      <c r="AO88" s="1779" t="str">
        <f>$I$79&amp;"."&amp;$M$88</f>
        <v>1.4</v>
      </c>
      <c r="AP88" s="1779" t="str">
        <f>$I$79&amp;"."&amp;$M$88&amp;"."&amp;$Q$88</f>
        <v>1.4.1</v>
      </c>
      <c r="AQ88" s="1779"/>
      <c r="AR88" s="20291"/>
    </row>
    <row customHeight="1" ht="17.25">
      <c r="A89" s="2352"/>
      <c r="B89" s="20291"/>
      <c r="C89" s="2357"/>
      <c r="D89" s="2342"/>
      <c r="E89" s="2359"/>
      <c r="F89" s="2296"/>
      <c r="G89" s="2360"/>
      <c r="H89" s="2342"/>
      <c r="I89" s="2342"/>
      <c r="J89" s="2363"/>
      <c r="K89" s="2360"/>
      <c r="L89" s="2620"/>
      <c r="M89" s="2620"/>
      <c r="N89" s="3016"/>
      <c r="O89" s="2698"/>
      <c r="P89" s="2620"/>
      <c r="Q89" s="2620"/>
      <c r="R89" s="3014"/>
      <c r="S89" s="2918"/>
      <c r="T89" s="1947"/>
      <c r="U89" s="1948"/>
      <c r="V89" s="1948"/>
      <c r="W89" s="3013"/>
      <c r="X89" s="20291"/>
      <c r="Y89" s="1771"/>
      <c r="Z89" s="1771"/>
      <c r="AA89" s="1771"/>
      <c r="AB89" s="1771"/>
      <c r="AC89" s="1771"/>
      <c r="AD89" s="1771"/>
      <c r="AE89" s="1771"/>
      <c r="AF89" s="1771"/>
      <c r="AG89" s="1771"/>
      <c r="AH89" s="1771"/>
      <c r="AI89" s="1771"/>
      <c r="AJ89" s="1771"/>
      <c r="AK89" s="1771"/>
      <c r="AL89" s="20291"/>
      <c r="AM89" s="20291"/>
      <c r="AN89" s="20291"/>
      <c r="AO89" s="20291"/>
      <c r="AP89" s="20291"/>
      <c r="AQ89" s="20291"/>
      <c r="AR89" s="20291"/>
    </row>
    <row customHeight="1" ht="17.25">
      <c r="A90" s="2352"/>
      <c r="B90" s="20291"/>
      <c r="C90" s="2357"/>
      <c r="D90" s="2342"/>
      <c r="E90" s="2359"/>
      <c r="F90" s="2296"/>
      <c r="G90" s="2360"/>
      <c r="H90" s="2342"/>
      <c r="I90" s="2342"/>
      <c r="J90" s="2363"/>
      <c r="K90" s="2360"/>
      <c r="L90" s="3015"/>
      <c r="M90" s="3015"/>
      <c r="N90" s="3017"/>
      <c r="O90" s="2624"/>
      <c r="P90" s="829"/>
      <c r="Q90" s="830"/>
      <c r="R90" s="830" t="s">
        <v>290</v>
      </c>
      <c r="S90" s="2358"/>
      <c r="T90" s="2358"/>
      <c r="U90" s="2358"/>
      <c r="V90" s="2358"/>
      <c r="W90" s="1945"/>
      <c r="X90" s="20291"/>
      <c r="Y90" s="1771"/>
      <c r="Z90" s="1771"/>
      <c r="AA90" s="1771"/>
      <c r="AB90" s="1771"/>
      <c r="AC90" s="1771"/>
      <c r="AD90" s="1771"/>
      <c r="AE90" s="1771"/>
      <c r="AF90" s="1771"/>
      <c r="AG90" s="1771"/>
      <c r="AH90" s="1771"/>
      <c r="AI90" s="1771"/>
      <c r="AJ90" s="1771"/>
      <c r="AK90" s="1771"/>
      <c r="AL90" s="20291"/>
      <c r="AM90" s="20291"/>
      <c r="AN90" s="20291"/>
      <c r="AO90" s="20291"/>
      <c r="AP90" s="20291"/>
      <c r="AQ90" s="20291"/>
      <c r="AR90" s="20291"/>
    </row>
    <row customHeight="1" ht="17.25">
      <c r="A91" s="2352"/>
      <c r="B91" s="20291"/>
      <c r="C91" s="2354"/>
      <c r="D91" s="2342"/>
      <c r="E91" s="2359"/>
      <c r="F91" s="2296"/>
      <c r="G91" s="2360"/>
      <c r="H91" s="2342"/>
      <c r="I91" s="2342"/>
      <c r="J91" s="2363"/>
      <c r="K91" s="2360"/>
      <c r="L91" s="2620" t="s">
        <v>106</v>
      </c>
      <c r="M91" s="2620" t="s">
        <v>121</v>
      </c>
      <c r="N91" s="3016" t="str">
        <f>IF(Z91="","",INDEX(TERRITORY_MR_LIST,MATCH(Z91,TERRITORY_LIST_ID,0)))</f>
        <v>Территория 5</v>
      </c>
      <c r="O91" s="2697" t="s">
        <v>63</v>
      </c>
      <c r="P91" s="2620"/>
      <c r="Q91" s="2620" t="s">
        <v>101</v>
      </c>
      <c r="R91" s="3014" t="s">
        <v>303</v>
      </c>
      <c r="S91" s="2918" t="s">
        <v>19</v>
      </c>
      <c r="T91" s="2314"/>
      <c r="U91" s="2314" t="s">
        <v>101</v>
      </c>
      <c r="V91" s="1946"/>
      <c r="W91" s="3013"/>
      <c r="X91" s="20291"/>
      <c r="Y91" s="1779"/>
      <c r="Z91" s="1779" t="s">
        <v>122</v>
      </c>
      <c r="AA91" s="1779"/>
      <c r="AB91" s="1779"/>
      <c r="AC91" s="20305" t="s">
        <v>286</v>
      </c>
      <c r="AD91" s="20305" t="s">
        <v>287</v>
      </c>
      <c r="AE91" s="1779" t="s">
        <v>304</v>
      </c>
      <c r="AF91" s="1779" t="s">
        <v>305</v>
      </c>
      <c r="AG91" s="1779" t="s">
        <v>306</v>
      </c>
      <c r="AH91" s="1779" t="str">
        <f>IF($E$79=0,"",$E$79)</f>
        <v>Тариф на питьевую воду (питьевое водоснабжение)</v>
      </c>
      <c r="AI91" s="1779" t="str">
        <f>IF($G$79=0,"",$G$79)</f>
        <v>Холодное водоснабжение. Питьевая вода</v>
      </c>
      <c r="AJ91" s="1779" t="str">
        <f>IF($J$79=0,"",$J$79)</f>
        <v>Тариф на питьевую воду для потребителей КГУП "Примтеплоэнерго"</v>
      </c>
      <c r="AK91" s="1779" t="str">
        <f>IF($K$91="нет","без дифференциации",IF($N$91=0,"",$N$91))</f>
        <v>Территория 5</v>
      </c>
      <c r="AL91" s="2356" t="str">
        <f>IF($O$91="нет","без дифференциации",IF($R$91=0,"",$R$91))</f>
        <v>с. Барабаш, с. Занадворовка</v>
      </c>
      <c r="AM91" s="2356"/>
      <c r="AN91" s="1779">
        <f>$I$79</f>
        <v>1</v>
      </c>
      <c r="AO91" s="1779" t="str">
        <f>$I$79&amp;"."&amp;$M$91</f>
        <v>1.5</v>
      </c>
      <c r="AP91" s="1779" t="str">
        <f>$I$79&amp;"."&amp;$M$91&amp;"."&amp;$Q$91</f>
        <v>1.5.1</v>
      </c>
      <c r="AQ91" s="1779"/>
      <c r="AR91" s="20291"/>
    </row>
    <row customHeight="1" ht="17.25">
      <c r="A92" s="2352"/>
      <c r="B92" s="20291"/>
      <c r="C92" s="2357"/>
      <c r="D92" s="2342"/>
      <c r="E92" s="2359"/>
      <c r="F92" s="2296"/>
      <c r="G92" s="2360"/>
      <c r="H92" s="2342"/>
      <c r="I92" s="2342"/>
      <c r="J92" s="2363"/>
      <c r="K92" s="2360"/>
      <c r="L92" s="2620"/>
      <c r="M92" s="2620"/>
      <c r="N92" s="3016"/>
      <c r="O92" s="2698"/>
      <c r="P92" s="2620"/>
      <c r="Q92" s="2620"/>
      <c r="R92" s="3014"/>
      <c r="S92" s="2918"/>
      <c r="T92" s="1947"/>
      <c r="U92" s="1948"/>
      <c r="V92" s="1948"/>
      <c r="W92" s="3013"/>
      <c r="X92" s="20291"/>
      <c r="Y92" s="1771"/>
      <c r="Z92" s="1771"/>
      <c r="AA92" s="1771"/>
      <c r="AB92" s="1771"/>
      <c r="AC92" s="1771"/>
      <c r="AD92" s="1771"/>
      <c r="AE92" s="1771"/>
      <c r="AF92" s="1771"/>
      <c r="AG92" s="1771"/>
      <c r="AH92" s="1771"/>
      <c r="AI92" s="1771"/>
      <c r="AJ92" s="1771"/>
      <c r="AK92" s="1771"/>
      <c r="AL92" s="20291"/>
      <c r="AM92" s="20291"/>
      <c r="AN92" s="20291"/>
      <c r="AO92" s="20291"/>
      <c r="AP92" s="20291"/>
      <c r="AQ92" s="20291"/>
      <c r="AR92" s="20291"/>
    </row>
    <row customHeight="1" ht="17.25">
      <c r="A93" s="2352"/>
      <c r="B93" s="20291"/>
      <c r="C93" s="2354"/>
      <c r="D93" s="2342"/>
      <c r="E93" s="2359"/>
      <c r="F93" s="2296"/>
      <c r="G93" s="2360"/>
      <c r="H93" s="2342"/>
      <c r="I93" s="2342"/>
      <c r="J93" s="2363"/>
      <c r="K93" s="2360"/>
      <c r="L93" s="2342"/>
      <c r="M93" s="2342"/>
      <c r="N93" s="2560"/>
      <c r="O93" s="2299"/>
      <c r="P93" s="2620" t="s">
        <v>106</v>
      </c>
      <c r="Q93" s="2620" t="s">
        <v>105</v>
      </c>
      <c r="R93" s="3014" t="s">
        <v>307</v>
      </c>
      <c r="S93" s="2918" t="s">
        <v>19</v>
      </c>
      <c r="T93" s="2314"/>
      <c r="U93" s="2314" t="s">
        <v>101</v>
      </c>
      <c r="V93" s="1946"/>
      <c r="W93" s="3013"/>
      <c r="X93" s="20291"/>
      <c r="Y93" s="1779"/>
      <c r="Z93" s="1779"/>
      <c r="AA93" s="1779"/>
      <c r="AB93" s="1779"/>
      <c r="AC93" s="20305" t="s">
        <v>286</v>
      </c>
      <c r="AD93" s="20305" t="s">
        <v>287</v>
      </c>
      <c r="AE93" s="20305" t="s">
        <v>304</v>
      </c>
      <c r="AF93" s="1779" t="s">
        <v>308</v>
      </c>
      <c r="AG93" s="1779" t="s">
        <v>309</v>
      </c>
      <c r="AH93" s="1779" t="str">
        <f>IF($E$79=0,"",$E$79)</f>
        <v>Тариф на питьевую воду (питьевое водоснабжение)</v>
      </c>
      <c r="AI93" s="1779" t="str">
        <f>IF($G$79=0,"",$G$79)</f>
        <v>Холодное водоснабжение. Питьевая вода</v>
      </c>
      <c r="AJ93" s="1779" t="str">
        <f>IF($J$79=0,"",$J$79)</f>
        <v>Тариф на питьевую воду для потребителей КГУП "Примтеплоэнерго"</v>
      </c>
      <c r="AK93" s="1779" t="str">
        <f>IF($K$91="нет","без дифференциации",IF($N$91=0,"",$N$91))</f>
        <v>Территория 5</v>
      </c>
      <c r="AL93" s="2356" t="str">
        <f>IF($O$93="нет","без дифференциации",IF($R$93=0,"",$R$93))</f>
        <v>пгт. Краскино</v>
      </c>
      <c r="AM93" s="2356"/>
      <c r="AN93" s="1779">
        <f>$I$79</f>
        <v>1</v>
      </c>
      <c r="AO93" s="1779" t="str">
        <f>$I$79&amp;"."&amp;$M$91</f>
        <v>1.5</v>
      </c>
      <c r="AP93" s="1779" t="str">
        <f>$I$79&amp;"."&amp;$M$91&amp;"."&amp;$Q$93</f>
        <v>1.5.2</v>
      </c>
      <c r="AQ93" s="1779"/>
      <c r="AR93" s="20291"/>
    </row>
    <row customHeight="1" ht="17.25">
      <c r="A94" s="2352"/>
      <c r="B94" s="20291"/>
      <c r="C94" s="2357"/>
      <c r="D94" s="2342"/>
      <c r="E94" s="2359"/>
      <c r="F94" s="2296"/>
      <c r="G94" s="2360"/>
      <c r="H94" s="2342"/>
      <c r="I94" s="2342"/>
      <c r="J94" s="2363"/>
      <c r="K94" s="2360"/>
      <c r="L94" s="2342"/>
      <c r="M94" s="2342"/>
      <c r="N94" s="2560"/>
      <c r="O94" s="2299"/>
      <c r="P94" s="2620"/>
      <c r="Q94" s="2620"/>
      <c r="R94" s="3014"/>
      <c r="S94" s="2918"/>
      <c r="T94" s="1947"/>
      <c r="U94" s="1948"/>
      <c r="V94" s="1948"/>
      <c r="W94" s="3013"/>
      <c r="X94" s="20291"/>
      <c r="Y94" s="1771"/>
      <c r="Z94" s="1771"/>
      <c r="AA94" s="1771"/>
      <c r="AB94" s="1771"/>
      <c r="AC94" s="1771"/>
      <c r="AD94" s="1771"/>
      <c r="AE94" s="1771"/>
      <c r="AF94" s="1771"/>
      <c r="AG94" s="1771"/>
      <c r="AH94" s="1771"/>
      <c r="AI94" s="1771"/>
      <c r="AJ94" s="1771"/>
      <c r="AK94" s="1771"/>
      <c r="AL94" s="20291"/>
      <c r="AM94" s="20291"/>
      <c r="AN94" s="20291"/>
      <c r="AO94" s="20291"/>
      <c r="AP94" s="20291"/>
      <c r="AQ94" s="20291"/>
      <c r="AR94" s="20291"/>
    </row>
    <row customHeight="1" ht="17.25">
      <c r="A95" s="2352"/>
      <c r="B95" s="20291"/>
      <c r="C95" s="2354"/>
      <c r="D95" s="2342"/>
      <c r="E95" s="2359"/>
      <c r="F95" s="2296"/>
      <c r="G95" s="2360"/>
      <c r="H95" s="2342"/>
      <c r="I95" s="2342"/>
      <c r="J95" s="2363"/>
      <c r="K95" s="2360"/>
      <c r="L95" s="2342"/>
      <c r="M95" s="2342"/>
      <c r="N95" s="2560"/>
      <c r="O95" s="2299"/>
      <c r="P95" s="2620" t="s">
        <v>106</v>
      </c>
      <c r="Q95" s="2620" t="s">
        <v>92</v>
      </c>
      <c r="R95" s="3014" t="s">
        <v>310</v>
      </c>
      <c r="S95" s="2918" t="s">
        <v>19</v>
      </c>
      <c r="T95" s="2314"/>
      <c r="U95" s="2314" t="s">
        <v>101</v>
      </c>
      <c r="V95" s="1946"/>
      <c r="W95" s="3013"/>
      <c r="X95" s="20291"/>
      <c r="Y95" s="1779"/>
      <c r="Z95" s="1779"/>
      <c r="AA95" s="1779"/>
      <c r="AB95" s="1779"/>
      <c r="AC95" s="20305" t="s">
        <v>286</v>
      </c>
      <c r="AD95" s="20305" t="s">
        <v>287</v>
      </c>
      <c r="AE95" s="20305" t="s">
        <v>304</v>
      </c>
      <c r="AF95" s="1779" t="s">
        <v>311</v>
      </c>
      <c r="AG95" s="1779" t="s">
        <v>312</v>
      </c>
      <c r="AH95" s="1779" t="str">
        <f>IF($E$79=0,"",$E$79)</f>
        <v>Тариф на питьевую воду (питьевое водоснабжение)</v>
      </c>
      <c r="AI95" s="1779" t="str">
        <f>IF($G$79=0,"",$G$79)</f>
        <v>Холодное водоснабжение. Питьевая вода</v>
      </c>
      <c r="AJ95" s="1779" t="str">
        <f>IF($J$79=0,"",$J$79)</f>
        <v>Тариф на питьевую воду для потребителей КГУП "Примтеплоэнерго"</v>
      </c>
      <c r="AK95" s="1779" t="str">
        <f>IF($K$91="нет","без дифференциации",IF($N$91=0,"",$N$91))</f>
        <v>Территория 5</v>
      </c>
      <c r="AL95" s="2356" t="str">
        <f>IF($O$95="нет","без дифференциации",IF($R$95=0,"",$R$95))</f>
        <v>пгт. Посьет</v>
      </c>
      <c r="AM95" s="2356"/>
      <c r="AN95" s="1779">
        <f>$I$79</f>
        <v>1</v>
      </c>
      <c r="AO95" s="1779" t="str">
        <f>$I$79&amp;"."&amp;$M$91</f>
        <v>1.5</v>
      </c>
      <c r="AP95" s="1779" t="str">
        <f>$I$79&amp;"."&amp;$M$91&amp;"."&amp;$Q$95</f>
        <v>1.5.3</v>
      </c>
      <c r="AQ95" s="1779"/>
      <c r="AR95" s="20291"/>
    </row>
    <row customHeight="1" ht="17.25">
      <c r="A96" s="2352"/>
      <c r="B96" s="20291"/>
      <c r="C96" s="2357"/>
      <c r="D96" s="2342"/>
      <c r="E96" s="2359"/>
      <c r="F96" s="2296"/>
      <c r="G96" s="2360"/>
      <c r="H96" s="2342"/>
      <c r="I96" s="2342"/>
      <c r="J96" s="2363"/>
      <c r="K96" s="2360"/>
      <c r="L96" s="2342"/>
      <c r="M96" s="2342"/>
      <c r="N96" s="2560"/>
      <c r="O96" s="2299"/>
      <c r="P96" s="2620"/>
      <c r="Q96" s="2620"/>
      <c r="R96" s="3014"/>
      <c r="S96" s="2918"/>
      <c r="T96" s="1947"/>
      <c r="U96" s="1948"/>
      <c r="V96" s="1948"/>
      <c r="W96" s="3013"/>
      <c r="X96" s="20291"/>
      <c r="Y96" s="1771"/>
      <c r="Z96" s="1771"/>
      <c r="AA96" s="1771"/>
      <c r="AB96" s="1771"/>
      <c r="AC96" s="1771"/>
      <c r="AD96" s="1771"/>
      <c r="AE96" s="1771"/>
      <c r="AF96" s="1771"/>
      <c r="AG96" s="1771"/>
      <c r="AH96" s="1771"/>
      <c r="AI96" s="1771"/>
      <c r="AJ96" s="1771"/>
      <c r="AK96" s="1771"/>
      <c r="AL96" s="20291"/>
      <c r="AM96" s="20291"/>
      <c r="AN96" s="20291"/>
      <c r="AO96" s="20291"/>
      <c r="AP96" s="20291"/>
      <c r="AQ96" s="20291"/>
      <c r="AR96" s="20291"/>
    </row>
    <row customHeight="1" ht="17.25">
      <c r="A97" s="2352"/>
      <c r="B97" s="20291"/>
      <c r="C97" s="2354"/>
      <c r="D97" s="2342"/>
      <c r="E97" s="2359"/>
      <c r="F97" s="2296"/>
      <c r="G97" s="2360"/>
      <c r="H97" s="2342"/>
      <c r="I97" s="2342"/>
      <c r="J97" s="2363"/>
      <c r="K97" s="2360"/>
      <c r="L97" s="2342"/>
      <c r="M97" s="2342"/>
      <c r="N97" s="2560"/>
      <c r="O97" s="2299"/>
      <c r="P97" s="2620" t="s">
        <v>106</v>
      </c>
      <c r="Q97" s="2620" t="s">
        <v>93</v>
      </c>
      <c r="R97" s="3014" t="s">
        <v>313</v>
      </c>
      <c r="S97" s="2918" t="s">
        <v>19</v>
      </c>
      <c r="T97" s="2314"/>
      <c r="U97" s="2314" t="s">
        <v>101</v>
      </c>
      <c r="V97" s="1946"/>
      <c r="W97" s="3013"/>
      <c r="X97" s="20291"/>
      <c r="Y97" s="1779"/>
      <c r="Z97" s="1779"/>
      <c r="AA97" s="1779"/>
      <c r="AB97" s="1779"/>
      <c r="AC97" s="20305" t="s">
        <v>286</v>
      </c>
      <c r="AD97" s="20305" t="s">
        <v>287</v>
      </c>
      <c r="AE97" s="20305" t="s">
        <v>304</v>
      </c>
      <c r="AF97" s="1779" t="s">
        <v>314</v>
      </c>
      <c r="AG97" s="1779" t="s">
        <v>315</v>
      </c>
      <c r="AH97" s="1779" t="str">
        <f>IF($E$79=0,"",$E$79)</f>
        <v>Тариф на питьевую воду (питьевое водоснабжение)</v>
      </c>
      <c r="AI97" s="1779" t="str">
        <f>IF($G$79=0,"",$G$79)</f>
        <v>Холодное водоснабжение. Питьевая вода</v>
      </c>
      <c r="AJ97" s="1779" t="str">
        <f>IF($J$79=0,"",$J$79)</f>
        <v>Тариф на питьевую воду для потребителей КГУП "Примтеплоэнерго"</v>
      </c>
      <c r="AK97" s="1779" t="str">
        <f>IF($K$91="нет","без дифференциации",IF($N$91=0,"",$N$91))</f>
        <v>Территория 5</v>
      </c>
      <c r="AL97" s="2356" t="str">
        <f>IF($O$97="нет","без дифференциации",IF($R$97=0,"",$R$97))</f>
        <v>пгт. Приморский</v>
      </c>
      <c r="AM97" s="2356"/>
      <c r="AN97" s="1779">
        <f>$I$79</f>
        <v>1</v>
      </c>
      <c r="AO97" s="1779" t="str">
        <f>$I$79&amp;"."&amp;$M$91</f>
        <v>1.5</v>
      </c>
      <c r="AP97" s="1779" t="str">
        <f>$I$79&amp;"."&amp;$M$91&amp;"."&amp;$Q$97</f>
        <v>1.5.4</v>
      </c>
      <c r="AQ97" s="1779"/>
      <c r="AR97" s="20291"/>
    </row>
    <row customHeight="1" ht="17.25">
      <c r="A98" s="2352"/>
      <c r="B98" s="20291"/>
      <c r="C98" s="2357"/>
      <c r="D98" s="2342"/>
      <c r="E98" s="2359"/>
      <c r="F98" s="2296"/>
      <c r="G98" s="2360"/>
      <c r="H98" s="2342"/>
      <c r="I98" s="2342"/>
      <c r="J98" s="2363"/>
      <c r="K98" s="2360"/>
      <c r="L98" s="2342"/>
      <c r="M98" s="2342"/>
      <c r="N98" s="2560"/>
      <c r="O98" s="2299"/>
      <c r="P98" s="2620"/>
      <c r="Q98" s="2620"/>
      <c r="R98" s="3014"/>
      <c r="S98" s="2918"/>
      <c r="T98" s="1947"/>
      <c r="U98" s="1948"/>
      <c r="V98" s="1948"/>
      <c r="W98" s="3013"/>
      <c r="X98" s="20291"/>
      <c r="Y98" s="1771"/>
      <c r="Z98" s="1771"/>
      <c r="AA98" s="1771"/>
      <c r="AB98" s="1771"/>
      <c r="AC98" s="1771"/>
      <c r="AD98" s="1771"/>
      <c r="AE98" s="1771"/>
      <c r="AF98" s="1771"/>
      <c r="AG98" s="1771"/>
      <c r="AH98" s="1771"/>
      <c r="AI98" s="1771"/>
      <c r="AJ98" s="1771"/>
      <c r="AK98" s="1771"/>
      <c r="AL98" s="20291"/>
      <c r="AM98" s="20291"/>
      <c r="AN98" s="20291"/>
      <c r="AO98" s="20291"/>
      <c r="AP98" s="20291"/>
      <c r="AQ98" s="20291"/>
      <c r="AR98" s="20291"/>
    </row>
    <row customHeight="1" ht="17.25">
      <c r="A99" s="2352"/>
      <c r="B99" s="20291"/>
      <c r="C99" s="2354"/>
      <c r="D99" s="2342"/>
      <c r="E99" s="2359"/>
      <c r="F99" s="2296"/>
      <c r="G99" s="2360"/>
      <c r="H99" s="2342"/>
      <c r="I99" s="2342"/>
      <c r="J99" s="2363"/>
      <c r="K99" s="2360"/>
      <c r="L99" s="2342"/>
      <c r="M99" s="2342"/>
      <c r="N99" s="2560"/>
      <c r="O99" s="2299"/>
      <c r="P99" s="2620" t="s">
        <v>106</v>
      </c>
      <c r="Q99" s="2620" t="s">
        <v>121</v>
      </c>
      <c r="R99" s="3014" t="s">
        <v>316</v>
      </c>
      <c r="S99" s="2918" t="s">
        <v>19</v>
      </c>
      <c r="T99" s="2314"/>
      <c r="U99" s="2314" t="s">
        <v>101</v>
      </c>
      <c r="V99" s="1946"/>
      <c r="W99" s="3013"/>
      <c r="X99" s="20291"/>
      <c r="Y99" s="1779"/>
      <c r="Z99" s="1779"/>
      <c r="AA99" s="1779"/>
      <c r="AB99" s="1779"/>
      <c r="AC99" s="20305" t="s">
        <v>286</v>
      </c>
      <c r="AD99" s="20305" t="s">
        <v>287</v>
      </c>
      <c r="AE99" s="20305" t="s">
        <v>304</v>
      </c>
      <c r="AF99" s="1779" t="s">
        <v>317</v>
      </c>
      <c r="AG99" s="1779" t="s">
        <v>318</v>
      </c>
      <c r="AH99" s="1779" t="str">
        <f>IF($E$79=0,"",$E$79)</f>
        <v>Тариф на питьевую воду (питьевое водоснабжение)</v>
      </c>
      <c r="AI99" s="1779" t="str">
        <f>IF($G$79=0,"",$G$79)</f>
        <v>Холодное водоснабжение. Питьевая вода</v>
      </c>
      <c r="AJ99" s="1779" t="str">
        <f>IF($J$79=0,"",$J$79)</f>
        <v>Тариф на питьевую воду для потребителей КГУП "Примтеплоэнерго"</v>
      </c>
      <c r="AK99" s="1779" t="str">
        <f>IF($K$91="нет","без дифференциации",IF($N$91=0,"",$N$91))</f>
        <v>Территория 5</v>
      </c>
      <c r="AL99" s="2356" t="str">
        <f>IF($O$99="нет","без дифференциации",IF($R$99=0,"",$R$99))</f>
        <v>с. Безверхово, с. Перевозная</v>
      </c>
      <c r="AM99" s="2356"/>
      <c r="AN99" s="1779">
        <f>$I$79</f>
        <v>1</v>
      </c>
      <c r="AO99" s="1779" t="str">
        <f>$I$79&amp;"."&amp;$M$91</f>
        <v>1.5</v>
      </c>
      <c r="AP99" s="1779" t="str">
        <f>$I$79&amp;"."&amp;$M$91&amp;"."&amp;$Q$99</f>
        <v>1.5.5</v>
      </c>
      <c r="AQ99" s="1779"/>
      <c r="AR99" s="20291"/>
    </row>
    <row customHeight="1" ht="17.25">
      <c r="A100" s="2352"/>
      <c r="B100" s="20291"/>
      <c r="C100" s="2357"/>
      <c r="D100" s="2342"/>
      <c r="E100" s="2359"/>
      <c r="F100" s="2296"/>
      <c r="G100" s="2360"/>
      <c r="H100" s="2342"/>
      <c r="I100" s="2342"/>
      <c r="J100" s="2363"/>
      <c r="K100" s="2360"/>
      <c r="L100" s="2342"/>
      <c r="M100" s="2342"/>
      <c r="N100" s="2560"/>
      <c r="O100" s="2299"/>
      <c r="P100" s="2620"/>
      <c r="Q100" s="2620"/>
      <c r="R100" s="3014"/>
      <c r="S100" s="2918"/>
      <c r="T100" s="1947"/>
      <c r="U100" s="1948"/>
      <c r="V100" s="1948"/>
      <c r="W100" s="3013"/>
      <c r="X100" s="20291"/>
      <c r="Y100" s="1771"/>
      <c r="Z100" s="1771"/>
      <c r="AA100" s="1771"/>
      <c r="AB100" s="1771"/>
      <c r="AC100" s="1771"/>
      <c r="AD100" s="1771"/>
      <c r="AE100" s="1771"/>
      <c r="AF100" s="1771"/>
      <c r="AG100" s="1771"/>
      <c r="AH100" s="1771"/>
      <c r="AI100" s="1771"/>
      <c r="AJ100" s="1771"/>
      <c r="AK100" s="1771"/>
      <c r="AL100" s="20291"/>
      <c r="AM100" s="20291"/>
      <c r="AN100" s="20291"/>
      <c r="AO100" s="20291"/>
      <c r="AP100" s="20291"/>
      <c r="AQ100" s="20291"/>
      <c r="AR100" s="20291"/>
    </row>
    <row customHeight="1" ht="17.25">
      <c r="A101" s="2352"/>
      <c r="B101" s="20291"/>
      <c r="C101" s="2357"/>
      <c r="D101" s="2342"/>
      <c r="E101" s="2359"/>
      <c r="F101" s="2296"/>
      <c r="G101" s="2360"/>
      <c r="H101" s="2342"/>
      <c r="I101" s="2342"/>
      <c r="J101" s="2363"/>
      <c r="K101" s="2360"/>
      <c r="L101" s="3015"/>
      <c r="M101" s="3015"/>
      <c r="N101" s="3017"/>
      <c r="O101" s="2624"/>
      <c r="P101" s="829"/>
      <c r="Q101" s="830"/>
      <c r="R101" s="830" t="s">
        <v>290</v>
      </c>
      <c r="S101" s="2358"/>
      <c r="T101" s="2358"/>
      <c r="U101" s="2358"/>
      <c r="V101" s="2358"/>
      <c r="W101" s="1945"/>
      <c r="X101" s="20291"/>
      <c r="Y101" s="1771"/>
      <c r="Z101" s="1771"/>
      <c r="AA101" s="1771"/>
      <c r="AB101" s="1771"/>
      <c r="AC101" s="1771"/>
      <c r="AD101" s="1771"/>
      <c r="AE101" s="1771"/>
      <c r="AF101" s="1771"/>
      <c r="AG101" s="1771"/>
      <c r="AH101" s="1771"/>
      <c r="AI101" s="1771"/>
      <c r="AJ101" s="1771"/>
      <c r="AK101" s="1771"/>
      <c r="AL101" s="20291"/>
      <c r="AM101" s="20291"/>
      <c r="AN101" s="20291"/>
      <c r="AO101" s="20291"/>
      <c r="AP101" s="20291"/>
      <c r="AQ101" s="20291"/>
      <c r="AR101" s="20291"/>
    </row>
    <row customHeight="1" ht="17.25">
      <c r="A102" s="2352"/>
      <c r="B102" s="20291"/>
      <c r="C102" s="2354"/>
      <c r="D102" s="2342"/>
      <c r="E102" s="2359"/>
      <c r="F102" s="2296"/>
      <c r="G102" s="2360"/>
      <c r="H102" s="2342"/>
      <c r="I102" s="2342"/>
      <c r="J102" s="2363"/>
      <c r="K102" s="2360"/>
      <c r="L102" s="2620" t="s">
        <v>106</v>
      </c>
      <c r="M102" s="2620" t="s">
        <v>94</v>
      </c>
      <c r="N102" s="3016" t="str">
        <f>IF(Z102="","",INDEX(TERRITORY_MR_LIST,MATCH(Z102,TERRITORY_LIST_ID,0)))</f>
        <v>Территория 6</v>
      </c>
      <c r="O102" s="2697" t="s">
        <v>63</v>
      </c>
      <c r="P102" s="2620"/>
      <c r="Q102" s="2620" t="s">
        <v>101</v>
      </c>
      <c r="R102" s="3014" t="s">
        <v>319</v>
      </c>
      <c r="S102" s="2918" t="s">
        <v>19</v>
      </c>
      <c r="T102" s="2314"/>
      <c r="U102" s="2314" t="s">
        <v>101</v>
      </c>
      <c r="V102" s="1946"/>
      <c r="W102" s="3013"/>
      <c r="X102" s="20291"/>
      <c r="Y102" s="1779"/>
      <c r="Z102" s="1779" t="s">
        <v>126</v>
      </c>
      <c r="AA102" s="1779"/>
      <c r="AB102" s="1779"/>
      <c r="AC102" s="20305" t="s">
        <v>286</v>
      </c>
      <c r="AD102" s="20305" t="s">
        <v>287</v>
      </c>
      <c r="AE102" s="1779" t="s">
        <v>320</v>
      </c>
      <c r="AF102" s="1779" t="s">
        <v>321</v>
      </c>
      <c r="AG102" s="1779" t="s">
        <v>322</v>
      </c>
      <c r="AH102" s="1779" t="str">
        <f>IF($E$79=0,"",$E$79)</f>
        <v>Тариф на питьевую воду (питьевое водоснабжение)</v>
      </c>
      <c r="AI102" s="1779" t="str">
        <f>IF($G$79=0,"",$G$79)</f>
        <v>Холодное водоснабжение. Питьевая вода</v>
      </c>
      <c r="AJ102" s="1779" t="str">
        <f>IF($J$79=0,"",$J$79)</f>
        <v>Тариф на питьевую воду для потребителей КГУП "Примтеплоэнерго"</v>
      </c>
      <c r="AK102" s="1779" t="str">
        <f>IF($K$102="нет","без дифференциации",IF($N$102=0,"",$N$102))</f>
        <v>Территория 6</v>
      </c>
      <c r="AL102" s="2356" t="str">
        <f>IF($O$102="нет","без дифференциации",IF($R$102=0,"",$R$102))</f>
        <v>с Дмитриевка, с. Меркушевка, с. Синий Гай, с. Искра, с. Майское</v>
      </c>
      <c r="AM102" s="2356"/>
      <c r="AN102" s="1779">
        <f>$I$79</f>
        <v>1</v>
      </c>
      <c r="AO102" s="1779" t="str">
        <f>$I$79&amp;"."&amp;$M$102</f>
        <v>1.6</v>
      </c>
      <c r="AP102" s="1779" t="str">
        <f>$I$79&amp;"."&amp;$M$102&amp;"."&amp;$Q$102</f>
        <v>1.6.1</v>
      </c>
      <c r="AQ102" s="1779"/>
      <c r="AR102" s="20291"/>
    </row>
    <row customHeight="1" ht="17.25">
      <c r="A103" s="2352"/>
      <c r="B103" s="20291"/>
      <c r="C103" s="2357"/>
      <c r="D103" s="2342"/>
      <c r="E103" s="2359"/>
      <c r="F103" s="2296"/>
      <c r="G103" s="2360"/>
      <c r="H103" s="2342"/>
      <c r="I103" s="2342"/>
      <c r="J103" s="2363"/>
      <c r="K103" s="2360"/>
      <c r="L103" s="2620"/>
      <c r="M103" s="2620"/>
      <c r="N103" s="3016"/>
      <c r="O103" s="2698"/>
      <c r="P103" s="2620"/>
      <c r="Q103" s="2620"/>
      <c r="R103" s="3014"/>
      <c r="S103" s="2918"/>
      <c r="T103" s="1947"/>
      <c r="U103" s="1948"/>
      <c r="V103" s="1948"/>
      <c r="W103" s="3013"/>
      <c r="X103" s="20291"/>
      <c r="Y103" s="1771"/>
      <c r="Z103" s="1771"/>
      <c r="AA103" s="1771"/>
      <c r="AB103" s="1771"/>
      <c r="AC103" s="1771"/>
      <c r="AD103" s="1771"/>
      <c r="AE103" s="1771"/>
      <c r="AF103" s="1771"/>
      <c r="AG103" s="1771"/>
      <c r="AH103" s="1771"/>
      <c r="AI103" s="1771"/>
      <c r="AJ103" s="1771"/>
      <c r="AK103" s="1771"/>
      <c r="AL103" s="20291"/>
      <c r="AM103" s="20291"/>
      <c r="AN103" s="20291"/>
      <c r="AO103" s="20291"/>
      <c r="AP103" s="20291"/>
      <c r="AQ103" s="20291"/>
      <c r="AR103" s="20291"/>
    </row>
    <row customHeight="1" ht="17.25">
      <c r="A104" s="2352"/>
      <c r="B104" s="20291"/>
      <c r="C104" s="2357"/>
      <c r="D104" s="2342"/>
      <c r="E104" s="2359"/>
      <c r="F104" s="2296"/>
      <c r="G104" s="2360"/>
      <c r="H104" s="2342"/>
      <c r="I104" s="2342"/>
      <c r="J104" s="2363"/>
      <c r="K104" s="2360"/>
      <c r="L104" s="3015"/>
      <c r="M104" s="3015"/>
      <c r="N104" s="3017"/>
      <c r="O104" s="2624"/>
      <c r="P104" s="829"/>
      <c r="Q104" s="830"/>
      <c r="R104" s="830" t="s">
        <v>290</v>
      </c>
      <c r="S104" s="2358"/>
      <c r="T104" s="2358"/>
      <c r="U104" s="2358"/>
      <c r="V104" s="2358"/>
      <c r="W104" s="1945"/>
      <c r="X104" s="20291"/>
      <c r="Y104" s="1771"/>
      <c r="Z104" s="1771"/>
      <c r="AA104" s="1771"/>
      <c r="AB104" s="1771"/>
      <c r="AC104" s="1771"/>
      <c r="AD104" s="1771"/>
      <c r="AE104" s="1771"/>
      <c r="AF104" s="1771"/>
      <c r="AG104" s="1771"/>
      <c r="AH104" s="1771"/>
      <c r="AI104" s="1771"/>
      <c r="AJ104" s="1771"/>
      <c r="AK104" s="1771"/>
      <c r="AL104" s="20291"/>
      <c r="AM104" s="20291"/>
      <c r="AN104" s="20291"/>
      <c r="AO104" s="20291"/>
      <c r="AP104" s="20291"/>
      <c r="AQ104" s="20291"/>
      <c r="AR104" s="20291"/>
    </row>
    <row customHeight="1" ht="17.25">
      <c r="A105" s="2352"/>
      <c r="B105" s="20291"/>
      <c r="C105" s="2354"/>
      <c r="D105" s="2342"/>
      <c r="E105" s="2359"/>
      <c r="F105" s="2296"/>
      <c r="G105" s="2360"/>
      <c r="H105" s="2342"/>
      <c r="I105" s="2342"/>
      <c r="J105" s="2363"/>
      <c r="K105" s="2360"/>
      <c r="L105" s="2620" t="s">
        <v>106</v>
      </c>
      <c r="M105" s="2620" t="s">
        <v>95</v>
      </c>
      <c r="N105" s="3016" t="str">
        <f>IF(Z105="","",INDEX(TERRITORY_MR_LIST,MATCH(Z105,TERRITORY_LIST_ID,0)))</f>
        <v>Территория 7</v>
      </c>
      <c r="O105" s="2697" t="s">
        <v>63</v>
      </c>
      <c r="P105" s="2620"/>
      <c r="Q105" s="2620" t="s">
        <v>101</v>
      </c>
      <c r="R105" s="3014" t="s">
        <v>323</v>
      </c>
      <c r="S105" s="2918" t="s">
        <v>19</v>
      </c>
      <c r="T105" s="2314"/>
      <c r="U105" s="2314" t="s">
        <v>101</v>
      </c>
      <c r="V105" s="1946"/>
      <c r="W105" s="3013"/>
      <c r="X105" s="20291"/>
      <c r="Y105" s="1779"/>
      <c r="Z105" s="1779" t="s">
        <v>131</v>
      </c>
      <c r="AA105" s="1779"/>
      <c r="AB105" s="1779"/>
      <c r="AC105" s="20305" t="s">
        <v>286</v>
      </c>
      <c r="AD105" s="20305" t="s">
        <v>287</v>
      </c>
      <c r="AE105" s="1779" t="s">
        <v>324</v>
      </c>
      <c r="AF105" s="1779" t="s">
        <v>325</v>
      </c>
      <c r="AG105" s="1779" t="s">
        <v>326</v>
      </c>
      <c r="AH105" s="1779" t="str">
        <f>IF($E$79=0,"",$E$79)</f>
        <v>Тариф на питьевую воду (питьевое водоснабжение)</v>
      </c>
      <c r="AI105" s="1779" t="str">
        <f>IF($G$79=0,"",$G$79)</f>
        <v>Холодное водоснабжение. Питьевая вода</v>
      </c>
      <c r="AJ105" s="1779" t="str">
        <f>IF($J$79=0,"",$J$79)</f>
        <v>Тариф на питьевую воду для потребителей КГУП "Примтеплоэнерго"</v>
      </c>
      <c r="AK105" s="1779" t="str">
        <f>IF($K$105="нет","без дифференциации",IF($N$105=0,"",$N$105))</f>
        <v>Территория 7</v>
      </c>
      <c r="AL105" s="2356" t="str">
        <f>IF($O$105="нет","без дифференциации",IF($R$105=0,"",$R$105))</f>
        <v>с. Реттиховка</v>
      </c>
      <c r="AM105" s="2356"/>
      <c r="AN105" s="1779">
        <f>$I$79</f>
        <v>1</v>
      </c>
      <c r="AO105" s="1779" t="str">
        <f>$I$79&amp;"."&amp;$M$105</f>
        <v>1.7</v>
      </c>
      <c r="AP105" s="1779" t="str">
        <f>$I$79&amp;"."&amp;$M$105&amp;"."&amp;$Q$105</f>
        <v>1.7.1</v>
      </c>
      <c r="AQ105" s="1779"/>
      <c r="AR105" s="20291"/>
    </row>
    <row customHeight="1" ht="17.25">
      <c r="A106" s="2352"/>
      <c r="B106" s="20291"/>
      <c r="C106" s="2357"/>
      <c r="D106" s="2342"/>
      <c r="E106" s="2359"/>
      <c r="F106" s="2296"/>
      <c r="G106" s="2360"/>
      <c r="H106" s="2342"/>
      <c r="I106" s="2342"/>
      <c r="J106" s="2363"/>
      <c r="K106" s="2360"/>
      <c r="L106" s="2620"/>
      <c r="M106" s="2620"/>
      <c r="N106" s="3016"/>
      <c r="O106" s="2698"/>
      <c r="P106" s="2620"/>
      <c r="Q106" s="2620"/>
      <c r="R106" s="3014"/>
      <c r="S106" s="2918"/>
      <c r="T106" s="1947"/>
      <c r="U106" s="1948"/>
      <c r="V106" s="1948"/>
      <c r="W106" s="3013"/>
      <c r="X106" s="20291"/>
      <c r="Y106" s="1771"/>
      <c r="Z106" s="1771"/>
      <c r="AA106" s="1771"/>
      <c r="AB106" s="1771"/>
      <c r="AC106" s="1771"/>
      <c r="AD106" s="1771"/>
      <c r="AE106" s="1771"/>
      <c r="AF106" s="1771"/>
      <c r="AG106" s="1771"/>
      <c r="AH106" s="1771"/>
      <c r="AI106" s="1771"/>
      <c r="AJ106" s="1771"/>
      <c r="AK106" s="1771"/>
      <c r="AL106" s="20291"/>
      <c r="AM106" s="20291"/>
      <c r="AN106" s="20291"/>
      <c r="AO106" s="20291"/>
      <c r="AP106" s="20291"/>
      <c r="AQ106" s="20291"/>
      <c r="AR106" s="20291"/>
    </row>
    <row customHeight="1" ht="17.25">
      <c r="A107" s="2352"/>
      <c r="B107" s="20291"/>
      <c r="C107" s="2357"/>
      <c r="D107" s="2342"/>
      <c r="E107" s="2359"/>
      <c r="F107" s="2296"/>
      <c r="G107" s="2360"/>
      <c r="H107" s="2342"/>
      <c r="I107" s="2342"/>
      <c r="J107" s="2363"/>
      <c r="K107" s="2360"/>
      <c r="L107" s="3015"/>
      <c r="M107" s="3015"/>
      <c r="N107" s="3017"/>
      <c r="O107" s="2624"/>
      <c r="P107" s="829"/>
      <c r="Q107" s="830"/>
      <c r="R107" s="830" t="s">
        <v>290</v>
      </c>
      <c r="S107" s="2358"/>
      <c r="T107" s="2358"/>
      <c r="U107" s="2358"/>
      <c r="V107" s="2358"/>
      <c r="W107" s="1945"/>
      <c r="X107" s="20291"/>
      <c r="Y107" s="1771"/>
      <c r="Z107" s="1771"/>
      <c r="AA107" s="1771"/>
      <c r="AB107" s="1771"/>
      <c r="AC107" s="1771"/>
      <c r="AD107" s="1771"/>
      <c r="AE107" s="1771"/>
      <c r="AF107" s="1771"/>
      <c r="AG107" s="1771"/>
      <c r="AH107" s="1771"/>
      <c r="AI107" s="1771"/>
      <c r="AJ107" s="1771"/>
      <c r="AK107" s="1771"/>
      <c r="AL107" s="20291"/>
      <c r="AM107" s="20291"/>
      <c r="AN107" s="20291"/>
      <c r="AO107" s="20291"/>
      <c r="AP107" s="20291"/>
      <c r="AQ107" s="20291"/>
      <c r="AR107" s="20291"/>
    </row>
    <row customHeight="1" ht="17.25">
      <c r="A108" s="2352"/>
      <c r="B108" s="20291"/>
      <c r="C108" s="2354"/>
      <c r="D108" s="2342"/>
      <c r="E108" s="2359"/>
      <c r="F108" s="2296"/>
      <c r="G108" s="2360"/>
      <c r="H108" s="2342"/>
      <c r="I108" s="2342"/>
      <c r="J108" s="2363"/>
      <c r="K108" s="2360"/>
      <c r="L108" s="2620" t="s">
        <v>106</v>
      </c>
      <c r="M108" s="2620" t="s">
        <v>135</v>
      </c>
      <c r="N108" s="3016" t="str">
        <f>IF(Z108="","",INDEX(TERRITORY_MR_LIST,MATCH(Z108,TERRITORY_LIST_ID,0)))</f>
        <v>Территория 8</v>
      </c>
      <c r="O108" s="2697" t="s">
        <v>63</v>
      </c>
      <c r="P108" s="2620"/>
      <c r="Q108" s="2620" t="s">
        <v>101</v>
      </c>
      <c r="R108" s="3014" t="s">
        <v>327</v>
      </c>
      <c r="S108" s="2918" t="s">
        <v>19</v>
      </c>
      <c r="T108" s="2314"/>
      <c r="U108" s="2314" t="s">
        <v>101</v>
      </c>
      <c r="V108" s="1946"/>
      <c r="W108" s="3013"/>
      <c r="X108" s="20291"/>
      <c r="Y108" s="1779"/>
      <c r="Z108" s="1779" t="s">
        <v>136</v>
      </c>
      <c r="AA108" s="1779"/>
      <c r="AB108" s="1779"/>
      <c r="AC108" s="20305" t="s">
        <v>286</v>
      </c>
      <c r="AD108" s="20305" t="s">
        <v>287</v>
      </c>
      <c r="AE108" s="1779" t="s">
        <v>328</v>
      </c>
      <c r="AF108" s="1779" t="s">
        <v>329</v>
      </c>
      <c r="AG108" s="1779" t="s">
        <v>330</v>
      </c>
      <c r="AH108" s="1779" t="str">
        <f>IF($E$79=0,"",$E$79)</f>
        <v>Тариф на питьевую воду (питьевое водоснабжение)</v>
      </c>
      <c r="AI108" s="1779" t="str">
        <f>IF($G$79=0,"",$G$79)</f>
        <v>Холодное водоснабжение. Питьевая вода</v>
      </c>
      <c r="AJ108" s="1779" t="str">
        <f>IF($J$79=0,"",$J$79)</f>
        <v>Тариф на питьевую воду для потребителей КГУП "Примтеплоэнерго"</v>
      </c>
      <c r="AK108" s="1779" t="str">
        <f>IF($K$108="нет","без дифференциации",IF($N$108=0,"",$N$108))</f>
        <v>Территория 8</v>
      </c>
      <c r="AL108" s="2356" t="str">
        <f>IF($O$108="нет","без дифференциации",IF($R$108=0,"",$R$108))</f>
        <v>с. Снегуровка, с. Васиановка, с. Абражевка</v>
      </c>
      <c r="AM108" s="2356"/>
      <c r="AN108" s="1779">
        <f>$I$79</f>
        <v>1</v>
      </c>
      <c r="AO108" s="1779" t="str">
        <f>$I$79&amp;"."&amp;$M$108</f>
        <v>1.8</v>
      </c>
      <c r="AP108" s="1779" t="str">
        <f>$I$79&amp;"."&amp;$M$108&amp;"."&amp;$Q$108</f>
        <v>1.8.1</v>
      </c>
      <c r="AQ108" s="1779"/>
      <c r="AR108" s="20291"/>
    </row>
    <row customHeight="1" ht="17.25">
      <c r="A109" s="2352"/>
      <c r="B109" s="20291"/>
      <c r="C109" s="2357"/>
      <c r="D109" s="2342"/>
      <c r="E109" s="2359"/>
      <c r="F109" s="2296"/>
      <c r="G109" s="2360"/>
      <c r="H109" s="2342"/>
      <c r="I109" s="2342"/>
      <c r="J109" s="2363"/>
      <c r="K109" s="2360"/>
      <c r="L109" s="2620"/>
      <c r="M109" s="2620"/>
      <c r="N109" s="3016"/>
      <c r="O109" s="2698"/>
      <c r="P109" s="2620"/>
      <c r="Q109" s="2620"/>
      <c r="R109" s="3014"/>
      <c r="S109" s="2918"/>
      <c r="T109" s="1947"/>
      <c r="U109" s="1948"/>
      <c r="V109" s="1948"/>
      <c r="W109" s="3013"/>
      <c r="X109" s="20291"/>
      <c r="Y109" s="1771"/>
      <c r="Z109" s="1771"/>
      <c r="AA109" s="1771"/>
      <c r="AB109" s="1771"/>
      <c r="AC109" s="1771"/>
      <c r="AD109" s="1771"/>
      <c r="AE109" s="1771"/>
      <c r="AF109" s="1771"/>
      <c r="AG109" s="1771"/>
      <c r="AH109" s="1771"/>
      <c r="AI109" s="1771"/>
      <c r="AJ109" s="1771"/>
      <c r="AK109" s="1771"/>
      <c r="AL109" s="20291"/>
      <c r="AM109" s="20291"/>
      <c r="AN109" s="20291"/>
      <c r="AO109" s="20291"/>
      <c r="AP109" s="20291"/>
      <c r="AQ109" s="20291"/>
      <c r="AR109" s="20291"/>
    </row>
    <row customHeight="1" ht="17.25">
      <c r="A110" s="2352"/>
      <c r="B110" s="20291"/>
      <c r="C110" s="2357"/>
      <c r="D110" s="2342"/>
      <c r="E110" s="2359"/>
      <c r="F110" s="2296"/>
      <c r="G110" s="2360"/>
      <c r="H110" s="2342"/>
      <c r="I110" s="2342"/>
      <c r="J110" s="2363"/>
      <c r="K110" s="2360"/>
      <c r="L110" s="3015"/>
      <c r="M110" s="3015"/>
      <c r="N110" s="3017"/>
      <c r="O110" s="2624"/>
      <c r="P110" s="829"/>
      <c r="Q110" s="830"/>
      <c r="R110" s="830" t="s">
        <v>290</v>
      </c>
      <c r="S110" s="2358"/>
      <c r="T110" s="2358"/>
      <c r="U110" s="2358"/>
      <c r="V110" s="2358"/>
      <c r="W110" s="1945"/>
      <c r="X110" s="20291"/>
      <c r="Y110" s="1771"/>
      <c r="Z110" s="1771"/>
      <c r="AA110" s="1771"/>
      <c r="AB110" s="1771"/>
      <c r="AC110" s="1771"/>
      <c r="AD110" s="1771"/>
      <c r="AE110" s="1771"/>
      <c r="AF110" s="1771"/>
      <c r="AG110" s="1771"/>
      <c r="AH110" s="1771"/>
      <c r="AI110" s="1771"/>
      <c r="AJ110" s="1771"/>
      <c r="AK110" s="1771"/>
      <c r="AL110" s="20291"/>
      <c r="AM110" s="20291"/>
      <c r="AN110" s="20291"/>
      <c r="AO110" s="20291"/>
      <c r="AP110" s="20291"/>
      <c r="AQ110" s="20291"/>
      <c r="AR110" s="20291"/>
    </row>
    <row customHeight="1" ht="17.25">
      <c r="A111" s="2352"/>
      <c r="B111" s="20291"/>
      <c r="C111" s="2354"/>
      <c r="D111" s="2342"/>
      <c r="E111" s="2359"/>
      <c r="F111" s="2296"/>
      <c r="G111" s="2360"/>
      <c r="H111" s="2342"/>
      <c r="I111" s="2342"/>
      <c r="J111" s="2363"/>
      <c r="K111" s="2360"/>
      <c r="L111" s="2620" t="s">
        <v>106</v>
      </c>
      <c r="M111" s="2620" t="s">
        <v>140</v>
      </c>
      <c r="N111" s="3016" t="str">
        <f>IF(Z111="","",INDEX(TERRITORY_MR_LIST,MATCH(Z111,TERRITORY_LIST_ID,0)))</f>
        <v>Территория 9</v>
      </c>
      <c r="O111" s="2697" t="s">
        <v>63</v>
      </c>
      <c r="P111" s="2620"/>
      <c r="Q111" s="2620" t="s">
        <v>101</v>
      </c>
      <c r="R111" s="3014" t="s">
        <v>331</v>
      </c>
      <c r="S111" s="2918" t="s">
        <v>19</v>
      </c>
      <c r="T111" s="2314"/>
      <c r="U111" s="2314" t="s">
        <v>101</v>
      </c>
      <c r="V111" s="1946"/>
      <c r="W111" s="3013"/>
      <c r="X111" s="20291"/>
      <c r="Y111" s="1779"/>
      <c r="Z111" s="1779" t="s">
        <v>141</v>
      </c>
      <c r="AA111" s="1779"/>
      <c r="AB111" s="1779"/>
      <c r="AC111" s="20305" t="s">
        <v>286</v>
      </c>
      <c r="AD111" s="20305" t="s">
        <v>287</v>
      </c>
      <c r="AE111" s="1779" t="s">
        <v>332</v>
      </c>
      <c r="AF111" s="1779" t="s">
        <v>333</v>
      </c>
      <c r="AG111" s="1779" t="s">
        <v>334</v>
      </c>
      <c r="AH111" s="1779" t="str">
        <f>IF($E$79=0,"",$E$79)</f>
        <v>Тариф на питьевую воду (питьевое водоснабжение)</v>
      </c>
      <c r="AI111" s="1779" t="str">
        <f>IF($G$79=0,"",$G$79)</f>
        <v>Холодное водоснабжение. Питьевая вода</v>
      </c>
      <c r="AJ111" s="1779" t="str">
        <f>IF($J$79=0,"",$J$79)</f>
        <v>Тариф на питьевую воду для потребителей КГУП "Примтеплоэнерго"</v>
      </c>
      <c r="AK111" s="1779" t="str">
        <f>IF($K$111="нет","без дифференциации",IF($N$111=0,"",$N$111))</f>
        <v>Территория 9</v>
      </c>
      <c r="AL111" s="2356" t="str">
        <f>IF($O$111="нет","без дифференциации",IF($R$111=0,"",$R$111))</f>
        <v>с. Черниговка, с. Горный Хутор</v>
      </c>
      <c r="AM111" s="2356"/>
      <c r="AN111" s="1779">
        <f>$I$79</f>
        <v>1</v>
      </c>
      <c r="AO111" s="1779" t="str">
        <f>$I$79&amp;"."&amp;$M$111</f>
        <v>1.9</v>
      </c>
      <c r="AP111" s="1779" t="str">
        <f>$I$79&amp;"."&amp;$M$111&amp;"."&amp;$Q$111</f>
        <v>1.9.1</v>
      </c>
      <c r="AQ111" s="1779"/>
      <c r="AR111" s="20291"/>
    </row>
    <row customHeight="1" ht="17.25">
      <c r="A112" s="2352"/>
      <c r="B112" s="20291"/>
      <c r="C112" s="2357"/>
      <c r="D112" s="2342"/>
      <c r="E112" s="2359"/>
      <c r="F112" s="2296"/>
      <c r="G112" s="2360"/>
      <c r="H112" s="2342"/>
      <c r="I112" s="2342"/>
      <c r="J112" s="2363"/>
      <c r="K112" s="2360"/>
      <c r="L112" s="2620"/>
      <c r="M112" s="2620"/>
      <c r="N112" s="3016"/>
      <c r="O112" s="2698"/>
      <c r="P112" s="2620"/>
      <c r="Q112" s="2620"/>
      <c r="R112" s="3014"/>
      <c r="S112" s="2918"/>
      <c r="T112" s="1947"/>
      <c r="U112" s="1948"/>
      <c r="V112" s="1948"/>
      <c r="W112" s="3013"/>
      <c r="X112" s="20291"/>
      <c r="Y112" s="1771"/>
      <c r="Z112" s="1771"/>
      <c r="AA112" s="1771"/>
      <c r="AB112" s="1771"/>
      <c r="AC112" s="1771"/>
      <c r="AD112" s="1771"/>
      <c r="AE112" s="1771"/>
      <c r="AF112" s="1771"/>
      <c r="AG112" s="1771"/>
      <c r="AH112" s="1771"/>
      <c r="AI112" s="1771"/>
      <c r="AJ112" s="1771"/>
      <c r="AK112" s="1771"/>
      <c r="AL112" s="20291"/>
      <c r="AM112" s="20291"/>
      <c r="AN112" s="20291"/>
      <c r="AO112" s="20291"/>
      <c r="AP112" s="20291"/>
      <c r="AQ112" s="20291"/>
      <c r="AR112" s="20291"/>
    </row>
    <row customHeight="1" ht="17.25">
      <c r="A113" s="2352"/>
      <c r="B113" s="20291"/>
      <c r="C113" s="2357"/>
      <c r="D113" s="2342"/>
      <c r="E113" s="2359"/>
      <c r="F113" s="2296"/>
      <c r="G113" s="2360"/>
      <c r="H113" s="2342"/>
      <c r="I113" s="2342"/>
      <c r="J113" s="2363"/>
      <c r="K113" s="2360"/>
      <c r="L113" s="3015"/>
      <c r="M113" s="3015"/>
      <c r="N113" s="3017"/>
      <c r="O113" s="2624"/>
      <c r="P113" s="829"/>
      <c r="Q113" s="830"/>
      <c r="R113" s="830" t="s">
        <v>290</v>
      </c>
      <c r="S113" s="2358"/>
      <c r="T113" s="2358"/>
      <c r="U113" s="2358"/>
      <c r="V113" s="2358"/>
      <c r="W113" s="1945"/>
      <c r="X113" s="20291"/>
      <c r="Y113" s="1771"/>
      <c r="Z113" s="1771"/>
      <c r="AA113" s="1771"/>
      <c r="AB113" s="1771"/>
      <c r="AC113" s="1771"/>
      <c r="AD113" s="1771"/>
      <c r="AE113" s="1771"/>
      <c r="AF113" s="1771"/>
      <c r="AG113" s="1771"/>
      <c r="AH113" s="1771"/>
      <c r="AI113" s="1771"/>
      <c r="AJ113" s="1771"/>
      <c r="AK113" s="1771"/>
      <c r="AL113" s="20291"/>
      <c r="AM113" s="20291"/>
      <c r="AN113" s="20291"/>
      <c r="AO113" s="20291"/>
      <c r="AP113" s="20291"/>
      <c r="AQ113" s="20291"/>
      <c r="AR113" s="20291"/>
    </row>
    <row customHeight="1" ht="17.25">
      <c r="A114" s="2352"/>
      <c r="B114" s="20291"/>
      <c r="C114" s="2354"/>
      <c r="D114" s="2342"/>
      <c r="E114" s="2359"/>
      <c r="F114" s="2296"/>
      <c r="G114" s="2360"/>
      <c r="H114" s="2342"/>
      <c r="I114" s="2342"/>
      <c r="J114" s="2363"/>
      <c r="K114" s="2360"/>
      <c r="L114" s="2620" t="s">
        <v>106</v>
      </c>
      <c r="M114" s="2620" t="s">
        <v>145</v>
      </c>
      <c r="N114" s="3016" t="str">
        <f>IF(Z114="","",INDEX(TERRITORY_MR_LIST,MATCH(Z114,TERRITORY_LIST_ID,0)))</f>
        <v>Территория 10</v>
      </c>
      <c r="O114" s="2697" t="s">
        <v>63</v>
      </c>
      <c r="P114" s="2620"/>
      <c r="Q114" s="2620" t="s">
        <v>101</v>
      </c>
      <c r="R114" s="3014" t="s">
        <v>335</v>
      </c>
      <c r="S114" s="2918" t="s">
        <v>19</v>
      </c>
      <c r="T114" s="2314"/>
      <c r="U114" s="2314" t="s">
        <v>101</v>
      </c>
      <c r="V114" s="1946"/>
      <c r="W114" s="3013"/>
      <c r="X114" s="20291"/>
      <c r="Y114" s="1779"/>
      <c r="Z114" s="1779" t="s">
        <v>146</v>
      </c>
      <c r="AA114" s="1779"/>
      <c r="AB114" s="1779"/>
      <c r="AC114" s="20305" t="s">
        <v>286</v>
      </c>
      <c r="AD114" s="20305" t="s">
        <v>287</v>
      </c>
      <c r="AE114" s="1779" t="s">
        <v>336</v>
      </c>
      <c r="AF114" s="1779" t="s">
        <v>337</v>
      </c>
      <c r="AG114" s="1779" t="s">
        <v>338</v>
      </c>
      <c r="AH114" s="1779" t="str">
        <f>IF($E$79=0,"",$E$79)</f>
        <v>Тариф на питьевую воду (питьевое водоснабжение)</v>
      </c>
      <c r="AI114" s="1779" t="str">
        <f>IF($G$79=0,"",$G$79)</f>
        <v>Холодное водоснабжение. Питьевая вода</v>
      </c>
      <c r="AJ114" s="1779" t="str">
        <f>IF($J$79=0,"",$J$79)</f>
        <v>Тариф на питьевую воду для потребителей КГУП "Примтеплоэнерго"</v>
      </c>
      <c r="AK114" s="1779" t="str">
        <f>IF($K$114="нет","без дифференциации",IF($N$114=0,"",$N$114))</f>
        <v>Территория 10</v>
      </c>
      <c r="AL114" s="2356" t="str">
        <f>IF($O$114="нет","без дифференциации",IF($R$114=0,"",$R$114))</f>
        <v>с. Романовка</v>
      </c>
      <c r="AM114" s="2356"/>
      <c r="AN114" s="1779">
        <f>$I$79</f>
        <v>1</v>
      </c>
      <c r="AO114" s="1779" t="str">
        <f>$I$79&amp;"."&amp;$M$114</f>
        <v>1.10</v>
      </c>
      <c r="AP114" s="1779" t="str">
        <f>$I$79&amp;"."&amp;$M$114&amp;"."&amp;$Q$114</f>
        <v>1.10.1</v>
      </c>
      <c r="AQ114" s="1779"/>
      <c r="AR114" s="20291"/>
    </row>
    <row customHeight="1" ht="17.25">
      <c r="A115" s="2352"/>
      <c r="B115" s="20291"/>
      <c r="C115" s="2357"/>
      <c r="D115" s="2342"/>
      <c r="E115" s="2359"/>
      <c r="F115" s="2296"/>
      <c r="G115" s="2360"/>
      <c r="H115" s="2342"/>
      <c r="I115" s="2342"/>
      <c r="J115" s="2363"/>
      <c r="K115" s="2360"/>
      <c r="L115" s="2620"/>
      <c r="M115" s="2620"/>
      <c r="N115" s="3016"/>
      <c r="O115" s="2698"/>
      <c r="P115" s="2620"/>
      <c r="Q115" s="2620"/>
      <c r="R115" s="3014"/>
      <c r="S115" s="2918"/>
      <c r="T115" s="1947"/>
      <c r="U115" s="1948"/>
      <c r="V115" s="1948"/>
      <c r="W115" s="3013"/>
      <c r="X115" s="20291"/>
      <c r="Y115" s="1771"/>
      <c r="Z115" s="1771"/>
      <c r="AA115" s="1771"/>
      <c r="AB115" s="1771"/>
      <c r="AC115" s="1771"/>
      <c r="AD115" s="1771"/>
      <c r="AE115" s="1771"/>
      <c r="AF115" s="1771"/>
      <c r="AG115" s="1771"/>
      <c r="AH115" s="1771"/>
      <c r="AI115" s="1771"/>
      <c r="AJ115" s="1771"/>
      <c r="AK115" s="1771"/>
      <c r="AL115" s="20291"/>
      <c r="AM115" s="20291"/>
      <c r="AN115" s="20291"/>
      <c r="AO115" s="20291"/>
      <c r="AP115" s="20291"/>
      <c r="AQ115" s="20291"/>
      <c r="AR115" s="20291"/>
    </row>
    <row customHeight="1" ht="17.25">
      <c r="A116" s="2352"/>
      <c r="B116" s="20291"/>
      <c r="C116" s="2357"/>
      <c r="D116" s="2342"/>
      <c r="E116" s="2359"/>
      <c r="F116" s="2296"/>
      <c r="G116" s="2360"/>
      <c r="H116" s="2342"/>
      <c r="I116" s="2342"/>
      <c r="J116" s="2363"/>
      <c r="K116" s="2360"/>
      <c r="L116" s="3015"/>
      <c r="M116" s="3015"/>
      <c r="N116" s="3017"/>
      <c r="O116" s="2624"/>
      <c r="P116" s="829"/>
      <c r="Q116" s="830"/>
      <c r="R116" s="830" t="s">
        <v>290</v>
      </c>
      <c r="S116" s="2358"/>
      <c r="T116" s="2358"/>
      <c r="U116" s="2358"/>
      <c r="V116" s="2358"/>
      <c r="W116" s="1945"/>
      <c r="X116" s="20291"/>
      <c r="Y116" s="1771"/>
      <c r="Z116" s="1771"/>
      <c r="AA116" s="1771"/>
      <c r="AB116" s="1771"/>
      <c r="AC116" s="1771"/>
      <c r="AD116" s="1771"/>
      <c r="AE116" s="1771"/>
      <c r="AF116" s="1771"/>
      <c r="AG116" s="1771"/>
      <c r="AH116" s="1771"/>
      <c r="AI116" s="1771"/>
      <c r="AJ116" s="1771"/>
      <c r="AK116" s="1771"/>
      <c r="AL116" s="20291"/>
      <c r="AM116" s="20291"/>
      <c r="AN116" s="20291"/>
      <c r="AO116" s="20291"/>
      <c r="AP116" s="20291"/>
      <c r="AQ116" s="20291"/>
      <c r="AR116" s="20291"/>
    </row>
    <row customHeight="1" ht="17.25">
      <c r="A117" s="2352"/>
      <c r="B117" s="20291"/>
      <c r="C117" s="2354"/>
      <c r="D117" s="2342"/>
      <c r="E117" s="2359"/>
      <c r="F117" s="2296"/>
      <c r="G117" s="2360"/>
      <c r="H117" s="2342"/>
      <c r="I117" s="2342"/>
      <c r="J117" s="2363"/>
      <c r="K117" s="2360"/>
      <c r="L117" s="2620" t="s">
        <v>106</v>
      </c>
      <c r="M117" s="2620" t="s">
        <v>151</v>
      </c>
      <c r="N117" s="3016" t="str">
        <f>IF(Z117="","",INDEX(TERRITORY_MR_LIST,MATCH(Z117,TERRITORY_LIST_ID,0)))</f>
        <v>Территория 11</v>
      </c>
      <c r="O117" s="2697" t="s">
        <v>63</v>
      </c>
      <c r="P117" s="2620"/>
      <c r="Q117" s="2620" t="s">
        <v>101</v>
      </c>
      <c r="R117" s="3014" t="s">
        <v>339</v>
      </c>
      <c r="S117" s="2918" t="s">
        <v>19</v>
      </c>
      <c r="T117" s="2314"/>
      <c r="U117" s="2314" t="s">
        <v>101</v>
      </c>
      <c r="V117" s="1946"/>
      <c r="W117" s="3013"/>
      <c r="X117" s="20291"/>
      <c r="Y117" s="1779"/>
      <c r="Z117" s="1779" t="s">
        <v>152</v>
      </c>
      <c r="AA117" s="1779"/>
      <c r="AB117" s="1779"/>
      <c r="AC117" s="20305" t="s">
        <v>286</v>
      </c>
      <c r="AD117" s="20305" t="s">
        <v>287</v>
      </c>
      <c r="AE117" s="1779" t="s">
        <v>340</v>
      </c>
      <c r="AF117" s="1779" t="s">
        <v>341</v>
      </c>
      <c r="AG117" s="1779" t="s">
        <v>342</v>
      </c>
      <c r="AH117" s="1779" t="str">
        <f>IF($E$79=0,"",$E$79)</f>
        <v>Тариф на питьевую воду (питьевое водоснабжение)</v>
      </c>
      <c r="AI117" s="1779" t="str">
        <f>IF($G$79=0,"",$G$79)</f>
        <v>Холодное водоснабжение. Питьевая вода</v>
      </c>
      <c r="AJ117" s="1779" t="str">
        <f>IF($J$79=0,"",$J$79)</f>
        <v>Тариф на питьевую воду для потребителей КГУП "Примтеплоэнерго"</v>
      </c>
      <c r="AK117" s="1779" t="str">
        <f>IF($K$117="нет","без дифференциации",IF($N$117=0,"",$N$117))</f>
        <v>Территория 11</v>
      </c>
      <c r="AL117" s="2356" t="str">
        <f>IF($O$117="нет","без дифференциации",IF($R$117=0,"",$R$117))</f>
        <v>с. Многоудобное</v>
      </c>
      <c r="AM117" s="2356"/>
      <c r="AN117" s="1779">
        <f>$I$79</f>
        <v>1</v>
      </c>
      <c r="AO117" s="1779" t="str">
        <f>$I$79&amp;"."&amp;$M$117</f>
        <v>1.11</v>
      </c>
      <c r="AP117" s="1779" t="str">
        <f>$I$79&amp;"."&amp;$M$117&amp;"."&amp;$Q$117</f>
        <v>1.11.1</v>
      </c>
      <c r="AQ117" s="1779"/>
      <c r="AR117" s="20291"/>
    </row>
    <row customHeight="1" ht="17.25">
      <c r="A118" s="2352"/>
      <c r="B118" s="20291"/>
      <c r="C118" s="2357"/>
      <c r="D118" s="2342"/>
      <c r="E118" s="2359"/>
      <c r="F118" s="2296"/>
      <c r="G118" s="2360"/>
      <c r="H118" s="2342"/>
      <c r="I118" s="2342"/>
      <c r="J118" s="2363"/>
      <c r="K118" s="2360"/>
      <c r="L118" s="2620"/>
      <c r="M118" s="2620"/>
      <c r="N118" s="3016"/>
      <c r="O118" s="2698"/>
      <c r="P118" s="2620"/>
      <c r="Q118" s="2620"/>
      <c r="R118" s="3014"/>
      <c r="S118" s="2918"/>
      <c r="T118" s="1947"/>
      <c r="U118" s="1948"/>
      <c r="V118" s="1948"/>
      <c r="W118" s="3013"/>
      <c r="X118" s="20291"/>
      <c r="Y118" s="1771"/>
      <c r="Z118" s="1771"/>
      <c r="AA118" s="1771"/>
      <c r="AB118" s="1771"/>
      <c r="AC118" s="1771"/>
      <c r="AD118" s="1771"/>
      <c r="AE118" s="1771"/>
      <c r="AF118" s="1771"/>
      <c r="AG118" s="1771"/>
      <c r="AH118" s="1771"/>
      <c r="AI118" s="1771"/>
      <c r="AJ118" s="1771"/>
      <c r="AK118" s="1771"/>
      <c r="AL118" s="20291"/>
      <c r="AM118" s="20291"/>
      <c r="AN118" s="20291"/>
      <c r="AO118" s="20291"/>
      <c r="AP118" s="20291"/>
      <c r="AQ118" s="20291"/>
      <c r="AR118" s="20291"/>
    </row>
    <row customHeight="1" ht="17.25">
      <c r="A119" s="2352"/>
      <c r="B119" s="20291"/>
      <c r="C119" s="2357"/>
      <c r="D119" s="2342"/>
      <c r="E119" s="2359"/>
      <c r="F119" s="2296"/>
      <c r="G119" s="2360"/>
      <c r="H119" s="2342"/>
      <c r="I119" s="2342"/>
      <c r="J119" s="2363"/>
      <c r="K119" s="2360"/>
      <c r="L119" s="3015"/>
      <c r="M119" s="3015"/>
      <c r="N119" s="3017"/>
      <c r="O119" s="2624"/>
      <c r="P119" s="829"/>
      <c r="Q119" s="830"/>
      <c r="R119" s="830" t="s">
        <v>290</v>
      </c>
      <c r="S119" s="2358"/>
      <c r="T119" s="2358"/>
      <c r="U119" s="2358"/>
      <c r="V119" s="2358"/>
      <c r="W119" s="1945"/>
      <c r="X119" s="20291"/>
      <c r="Y119" s="1771"/>
      <c r="Z119" s="1771"/>
      <c r="AA119" s="1771"/>
      <c r="AB119" s="1771"/>
      <c r="AC119" s="1771"/>
      <c r="AD119" s="1771"/>
      <c r="AE119" s="1771"/>
      <c r="AF119" s="1771"/>
      <c r="AG119" s="1771"/>
      <c r="AH119" s="1771"/>
      <c r="AI119" s="1771"/>
      <c r="AJ119" s="1771"/>
      <c r="AK119" s="1771"/>
      <c r="AL119" s="20291"/>
      <c r="AM119" s="20291"/>
      <c r="AN119" s="20291"/>
      <c r="AO119" s="20291"/>
      <c r="AP119" s="20291"/>
      <c r="AQ119" s="20291"/>
      <c r="AR119" s="20291"/>
    </row>
    <row customHeight="1" ht="17.25">
      <c r="A120" s="2352"/>
      <c r="B120" s="20291"/>
      <c r="C120" s="2354"/>
      <c r="D120" s="2342"/>
      <c r="E120" s="2359"/>
      <c r="F120" s="2296"/>
      <c r="G120" s="2360"/>
      <c r="H120" s="2342"/>
      <c r="I120" s="2342"/>
      <c r="J120" s="2363"/>
      <c r="K120" s="2360"/>
      <c r="L120" s="2620" t="s">
        <v>106</v>
      </c>
      <c r="M120" s="2620" t="s">
        <v>156</v>
      </c>
      <c r="N120" s="3016" t="str">
        <f>IF(Z120="","",INDEX(TERRITORY_MR_LIST,MATCH(Z120,TERRITORY_LIST_ID,0)))</f>
        <v>Территория 12</v>
      </c>
      <c r="O120" s="2697" t="s">
        <v>63</v>
      </c>
      <c r="P120" s="2620"/>
      <c r="Q120" s="2620" t="s">
        <v>101</v>
      </c>
      <c r="R120" s="3014" t="s">
        <v>343</v>
      </c>
      <c r="S120" s="2918" t="s">
        <v>19</v>
      </c>
      <c r="T120" s="2314"/>
      <c r="U120" s="2314" t="s">
        <v>101</v>
      </c>
      <c r="V120" s="1946"/>
      <c r="W120" s="3013"/>
      <c r="X120" s="20291"/>
      <c r="Y120" s="1779"/>
      <c r="Z120" s="1779" t="s">
        <v>157</v>
      </c>
      <c r="AA120" s="1779"/>
      <c r="AB120" s="1779"/>
      <c r="AC120" s="20305" t="s">
        <v>286</v>
      </c>
      <c r="AD120" s="20305" t="s">
        <v>287</v>
      </c>
      <c r="AE120" s="1779" t="s">
        <v>344</v>
      </c>
      <c r="AF120" s="1779" t="s">
        <v>345</v>
      </c>
      <c r="AG120" s="1779" t="s">
        <v>346</v>
      </c>
      <c r="AH120" s="1779" t="str">
        <f>IF($E$79=0,"",$E$79)</f>
        <v>Тариф на питьевую воду (питьевое водоснабжение)</v>
      </c>
      <c r="AI120" s="1779" t="str">
        <f>IF($G$79=0,"",$G$79)</f>
        <v>Холодное водоснабжение. Питьевая вода</v>
      </c>
      <c r="AJ120" s="1779" t="str">
        <f>IF($J$79=0,"",$J$79)</f>
        <v>Тариф на питьевую воду для потребителей КГУП "Примтеплоэнерго"</v>
      </c>
      <c r="AK120" s="1779" t="str">
        <f>IF($K$120="нет","без дифференциации",IF($N$120=0,"",$N$120))</f>
        <v>Территория 12</v>
      </c>
      <c r="AL120" s="2356" t="str">
        <f>IF($O$120="нет","без дифференциации",IF($R$120=0,"",$R$120))</f>
        <v>Дальнегорский ГО</v>
      </c>
      <c r="AM120" s="2356"/>
      <c r="AN120" s="1779">
        <f>$I$79</f>
        <v>1</v>
      </c>
      <c r="AO120" s="1779" t="str">
        <f>$I$79&amp;"."&amp;$M$120</f>
        <v>1.12</v>
      </c>
      <c r="AP120" s="1779" t="str">
        <f>$I$79&amp;"."&amp;$M$120&amp;"."&amp;$Q$120</f>
        <v>1.12.1</v>
      </c>
      <c r="AQ120" s="1779"/>
      <c r="AR120" s="20291"/>
    </row>
    <row customHeight="1" ht="17.25">
      <c r="A121" s="2352"/>
      <c r="B121" s="20291"/>
      <c r="C121" s="2357"/>
      <c r="D121" s="2342"/>
      <c r="E121" s="2359"/>
      <c r="F121" s="2296"/>
      <c r="G121" s="2360"/>
      <c r="H121" s="2342"/>
      <c r="I121" s="2342"/>
      <c r="J121" s="2363"/>
      <c r="K121" s="2360"/>
      <c r="L121" s="2620"/>
      <c r="M121" s="2620"/>
      <c r="N121" s="3016"/>
      <c r="O121" s="2698"/>
      <c r="P121" s="2620"/>
      <c r="Q121" s="2620"/>
      <c r="R121" s="3014"/>
      <c r="S121" s="2918"/>
      <c r="T121" s="1947"/>
      <c r="U121" s="1948"/>
      <c r="V121" s="1948"/>
      <c r="W121" s="3013"/>
      <c r="X121" s="20291"/>
      <c r="Y121" s="1771"/>
      <c r="Z121" s="1771"/>
      <c r="AA121" s="1771"/>
      <c r="AB121" s="1771"/>
      <c r="AC121" s="1771"/>
      <c r="AD121" s="1771"/>
      <c r="AE121" s="1771"/>
      <c r="AF121" s="1771"/>
      <c r="AG121" s="1771"/>
      <c r="AH121" s="1771"/>
      <c r="AI121" s="1771"/>
      <c r="AJ121" s="1771"/>
      <c r="AK121" s="1771"/>
      <c r="AL121" s="20291"/>
      <c r="AM121" s="20291"/>
      <c r="AN121" s="20291"/>
      <c r="AO121" s="20291"/>
      <c r="AP121" s="20291"/>
      <c r="AQ121" s="20291"/>
      <c r="AR121" s="20291"/>
    </row>
    <row customHeight="1" ht="17.25">
      <c r="A122" s="2352"/>
      <c r="B122" s="20291"/>
      <c r="C122" s="2357"/>
      <c r="D122" s="2342"/>
      <c r="E122" s="2359"/>
      <c r="F122" s="2296"/>
      <c r="G122" s="2360"/>
      <c r="H122" s="2342"/>
      <c r="I122" s="2342"/>
      <c r="J122" s="2363"/>
      <c r="K122" s="2360"/>
      <c r="L122" s="3015"/>
      <c r="M122" s="3015"/>
      <c r="N122" s="3017"/>
      <c r="O122" s="2624"/>
      <c r="P122" s="829"/>
      <c r="Q122" s="830"/>
      <c r="R122" s="830" t="s">
        <v>290</v>
      </c>
      <c r="S122" s="2358"/>
      <c r="T122" s="2358"/>
      <c r="U122" s="2358"/>
      <c r="V122" s="2358"/>
      <c r="W122" s="1945"/>
      <c r="X122" s="20291"/>
      <c r="Y122" s="1771"/>
      <c r="Z122" s="1771"/>
      <c r="AA122" s="1771"/>
      <c r="AB122" s="1771"/>
      <c r="AC122" s="1771"/>
      <c r="AD122" s="1771"/>
      <c r="AE122" s="1771"/>
      <c r="AF122" s="1771"/>
      <c r="AG122" s="1771"/>
      <c r="AH122" s="1771"/>
      <c r="AI122" s="1771"/>
      <c r="AJ122" s="1771"/>
      <c r="AK122" s="1771"/>
      <c r="AL122" s="20291"/>
      <c r="AM122" s="20291"/>
      <c r="AN122" s="20291"/>
      <c r="AO122" s="20291"/>
      <c r="AP122" s="20291"/>
      <c r="AQ122" s="20291"/>
      <c r="AR122" s="20291"/>
    </row>
    <row customHeight="1" ht="17.25">
      <c r="A123" s="2352"/>
      <c r="B123" s="20291"/>
      <c r="C123" s="2354"/>
      <c r="D123" s="2342"/>
      <c r="E123" s="2359"/>
      <c r="F123" s="2296"/>
      <c r="G123" s="2360"/>
      <c r="H123" s="2342"/>
      <c r="I123" s="2342"/>
      <c r="J123" s="2363"/>
      <c r="K123" s="2360"/>
      <c r="L123" s="2620" t="s">
        <v>106</v>
      </c>
      <c r="M123" s="2620" t="s">
        <v>160</v>
      </c>
      <c r="N123" s="3016" t="str">
        <f>IF(Z123="","",INDEX(TERRITORY_MR_LIST,MATCH(Z123,TERRITORY_LIST_ID,0)))</f>
        <v>Территория 13</v>
      </c>
      <c r="O123" s="2697" t="s">
        <v>63</v>
      </c>
      <c r="P123" s="2620"/>
      <c r="Q123" s="2620" t="s">
        <v>101</v>
      </c>
      <c r="R123" s="3014" t="s">
        <v>347</v>
      </c>
      <c r="S123" s="2918" t="s">
        <v>19</v>
      </c>
      <c r="T123" s="2314"/>
      <c r="U123" s="2314" t="s">
        <v>101</v>
      </c>
      <c r="V123" s="1946"/>
      <c r="W123" s="3013"/>
      <c r="X123" s="20291"/>
      <c r="Y123" s="1779"/>
      <c r="Z123" s="1779" t="s">
        <v>161</v>
      </c>
      <c r="AA123" s="1779"/>
      <c r="AB123" s="1779"/>
      <c r="AC123" s="20305" t="s">
        <v>286</v>
      </c>
      <c r="AD123" s="20305" t="s">
        <v>287</v>
      </c>
      <c r="AE123" s="1779" t="s">
        <v>348</v>
      </c>
      <c r="AF123" s="1779" t="s">
        <v>349</v>
      </c>
      <c r="AG123" s="1779" t="s">
        <v>350</v>
      </c>
      <c r="AH123" s="1779" t="str">
        <f>IF($E$79=0,"",$E$79)</f>
        <v>Тариф на питьевую воду (питьевое водоснабжение)</v>
      </c>
      <c r="AI123" s="1779" t="str">
        <f>IF($G$79=0,"",$G$79)</f>
        <v>Холодное водоснабжение. Питьевая вода</v>
      </c>
      <c r="AJ123" s="1779" t="str">
        <f>IF($J$79=0,"",$J$79)</f>
        <v>Тариф на питьевую воду для потребителей КГУП "Примтеплоэнерго"</v>
      </c>
      <c r="AK123" s="1779" t="str">
        <f>IF($K$123="нет","без дифференциации",IF($N$123=0,"",$N$123))</f>
        <v>Территория 13</v>
      </c>
      <c r="AL123" s="2356" t="str">
        <f>IF($O$123="нет","без дифференциации",IF($R$123=0,"",$R$123))</f>
        <v>Военный городок Графский</v>
      </c>
      <c r="AM123" s="2356"/>
      <c r="AN123" s="1779">
        <f>$I$79</f>
        <v>1</v>
      </c>
      <c r="AO123" s="1779" t="str">
        <f>$I$79&amp;"."&amp;$M$123</f>
        <v>1.13</v>
      </c>
      <c r="AP123" s="1779" t="str">
        <f>$I$79&amp;"."&amp;$M$123&amp;"."&amp;$Q$123</f>
        <v>1.13.1</v>
      </c>
      <c r="AQ123" s="1779"/>
      <c r="AR123" s="20291"/>
    </row>
    <row customHeight="1" ht="17.25">
      <c r="A124" s="2352"/>
      <c r="B124" s="20291"/>
      <c r="C124" s="2357"/>
      <c r="D124" s="2342"/>
      <c r="E124" s="2359"/>
      <c r="F124" s="2296"/>
      <c r="G124" s="2360"/>
      <c r="H124" s="2342"/>
      <c r="I124" s="2342"/>
      <c r="J124" s="2363"/>
      <c r="K124" s="2360"/>
      <c r="L124" s="2620"/>
      <c r="M124" s="2620"/>
      <c r="N124" s="3016"/>
      <c r="O124" s="2698"/>
      <c r="P124" s="2620"/>
      <c r="Q124" s="2620"/>
      <c r="R124" s="3014"/>
      <c r="S124" s="2918"/>
      <c r="T124" s="1947"/>
      <c r="U124" s="1948"/>
      <c r="V124" s="1948"/>
      <c r="W124" s="3013"/>
      <c r="X124" s="20291"/>
      <c r="Y124" s="1771"/>
      <c r="Z124" s="1771"/>
      <c r="AA124" s="1771"/>
      <c r="AB124" s="1771"/>
      <c r="AC124" s="1771"/>
      <c r="AD124" s="1771"/>
      <c r="AE124" s="1771"/>
      <c r="AF124" s="1771"/>
      <c r="AG124" s="1771"/>
      <c r="AH124" s="1771"/>
      <c r="AI124" s="1771"/>
      <c r="AJ124" s="1771"/>
      <c r="AK124" s="1771"/>
      <c r="AL124" s="20291"/>
      <c r="AM124" s="20291"/>
      <c r="AN124" s="20291"/>
      <c r="AO124" s="20291"/>
      <c r="AP124" s="20291"/>
      <c r="AQ124" s="20291"/>
      <c r="AR124" s="20291"/>
    </row>
    <row customHeight="1" ht="17.25">
      <c r="A125" s="2352"/>
      <c r="B125" s="20291"/>
      <c r="C125" s="2357"/>
      <c r="D125" s="2342"/>
      <c r="E125" s="2359"/>
      <c r="F125" s="2296"/>
      <c r="G125" s="2360"/>
      <c r="H125" s="2342"/>
      <c r="I125" s="2342"/>
      <c r="J125" s="2363"/>
      <c r="K125" s="2360"/>
      <c r="L125" s="3015"/>
      <c r="M125" s="3015"/>
      <c r="N125" s="3017"/>
      <c r="O125" s="2624"/>
      <c r="P125" s="829"/>
      <c r="Q125" s="830"/>
      <c r="R125" s="830" t="s">
        <v>290</v>
      </c>
      <c r="S125" s="2358"/>
      <c r="T125" s="2358"/>
      <c r="U125" s="2358"/>
      <c r="V125" s="2358"/>
      <c r="W125" s="1945"/>
      <c r="X125" s="20291"/>
      <c r="Y125" s="1771"/>
      <c r="Z125" s="1771"/>
      <c r="AA125" s="1771"/>
      <c r="AB125" s="1771"/>
      <c r="AC125" s="1771"/>
      <c r="AD125" s="1771"/>
      <c r="AE125" s="1771"/>
      <c r="AF125" s="1771"/>
      <c r="AG125" s="1771"/>
      <c r="AH125" s="1771"/>
      <c r="AI125" s="1771"/>
      <c r="AJ125" s="1771"/>
      <c r="AK125" s="1771"/>
      <c r="AL125" s="20291"/>
      <c r="AM125" s="20291"/>
      <c r="AN125" s="20291"/>
      <c r="AO125" s="20291"/>
      <c r="AP125" s="20291"/>
      <c r="AQ125" s="20291"/>
      <c r="AR125" s="20291"/>
    </row>
    <row customHeight="1" ht="17.25">
      <c r="A126" s="2352"/>
      <c r="B126" s="20291"/>
      <c r="C126" s="2354"/>
      <c r="D126" s="2342"/>
      <c r="E126" s="2359"/>
      <c r="F126" s="2296"/>
      <c r="G126" s="2360"/>
      <c r="H126" s="2342"/>
      <c r="I126" s="2342"/>
      <c r="J126" s="2363"/>
      <c r="K126" s="2360"/>
      <c r="L126" s="2620" t="s">
        <v>106</v>
      </c>
      <c r="M126" s="2620" t="s">
        <v>164</v>
      </c>
      <c r="N126" s="3016" t="str">
        <f>IF(Z126="","",INDEX(TERRITORY_MR_LIST,MATCH(Z126,TERRITORY_LIST_ID,0)))</f>
        <v>Территория 14</v>
      </c>
      <c r="O126" s="2697" t="s">
        <v>63</v>
      </c>
      <c r="P126" s="2620"/>
      <c r="Q126" s="2620" t="s">
        <v>101</v>
      </c>
      <c r="R126" s="3014" t="s">
        <v>351</v>
      </c>
      <c r="S126" s="2918" t="s">
        <v>19</v>
      </c>
      <c r="T126" s="2314"/>
      <c r="U126" s="2314" t="s">
        <v>101</v>
      </c>
      <c r="V126" s="1946"/>
      <c r="W126" s="3013"/>
      <c r="X126" s="20291"/>
      <c r="Y126" s="1779"/>
      <c r="Z126" s="1779" t="s">
        <v>165</v>
      </c>
      <c r="AA126" s="1779"/>
      <c r="AB126" s="1779"/>
      <c r="AC126" s="20305" t="s">
        <v>286</v>
      </c>
      <c r="AD126" s="20305" t="s">
        <v>287</v>
      </c>
      <c r="AE126" s="1779" t="s">
        <v>352</v>
      </c>
      <c r="AF126" s="1779" t="s">
        <v>353</v>
      </c>
      <c r="AG126" s="1779" t="s">
        <v>354</v>
      </c>
      <c r="AH126" s="1779" t="str">
        <f>IF($E$79=0,"",$E$79)</f>
        <v>Тариф на питьевую воду (питьевое водоснабжение)</v>
      </c>
      <c r="AI126" s="1779" t="str">
        <f>IF($G$79=0,"",$G$79)</f>
        <v>Холодное водоснабжение. Питьевая вода</v>
      </c>
      <c r="AJ126" s="1779" t="str">
        <f>IF($J$79=0,"",$J$79)</f>
        <v>Тариф на питьевую воду для потребителей КГУП "Примтеплоэнерго"</v>
      </c>
      <c r="AK126" s="1779" t="str">
        <f>IF($K$126="нет","без дифференциации",IF($N$126=0,"",$N$126))</f>
        <v>Территория 14</v>
      </c>
      <c r="AL126" s="2356" t="str">
        <f>IF($O$126="нет","без дифференциации",IF($R$126=0,"",$R$126))</f>
        <v>МКР им. С. Лазо</v>
      </c>
      <c r="AM126" s="2356"/>
      <c r="AN126" s="1779">
        <f>$I$79</f>
        <v>1</v>
      </c>
      <c r="AO126" s="1779" t="str">
        <f>$I$79&amp;"."&amp;$M$126</f>
        <v>1.14</v>
      </c>
      <c r="AP126" s="1779" t="str">
        <f>$I$79&amp;"."&amp;$M$126&amp;"."&amp;$Q$126</f>
        <v>1.14.1</v>
      </c>
      <c r="AQ126" s="1779"/>
      <c r="AR126" s="20291"/>
    </row>
    <row customHeight="1" ht="17.25">
      <c r="A127" s="2352"/>
      <c r="B127" s="20291"/>
      <c r="C127" s="2357"/>
      <c r="D127" s="2342"/>
      <c r="E127" s="2359"/>
      <c r="F127" s="2296"/>
      <c r="G127" s="2360"/>
      <c r="H127" s="2342"/>
      <c r="I127" s="2342"/>
      <c r="J127" s="2363"/>
      <c r="K127" s="2360"/>
      <c r="L127" s="2620"/>
      <c r="M127" s="2620"/>
      <c r="N127" s="3016"/>
      <c r="O127" s="2698"/>
      <c r="P127" s="2620"/>
      <c r="Q127" s="2620"/>
      <c r="R127" s="3014"/>
      <c r="S127" s="2918"/>
      <c r="T127" s="1947"/>
      <c r="U127" s="1948"/>
      <c r="V127" s="1948"/>
      <c r="W127" s="3013"/>
      <c r="X127" s="20291"/>
      <c r="Y127" s="1771"/>
      <c r="Z127" s="1771"/>
      <c r="AA127" s="1771"/>
      <c r="AB127" s="1771"/>
      <c r="AC127" s="1771"/>
      <c r="AD127" s="1771"/>
      <c r="AE127" s="1771"/>
      <c r="AF127" s="1771"/>
      <c r="AG127" s="1771"/>
      <c r="AH127" s="1771"/>
      <c r="AI127" s="1771"/>
      <c r="AJ127" s="1771"/>
      <c r="AK127" s="1771"/>
      <c r="AL127" s="20291"/>
      <c r="AM127" s="20291"/>
      <c r="AN127" s="20291"/>
      <c r="AO127" s="20291"/>
      <c r="AP127" s="20291"/>
      <c r="AQ127" s="20291"/>
      <c r="AR127" s="20291"/>
    </row>
    <row customHeight="1" ht="17.25">
      <c r="A128" s="2352"/>
      <c r="B128" s="20291"/>
      <c r="C128" s="2354"/>
      <c r="D128" s="2342"/>
      <c r="E128" s="2359"/>
      <c r="F128" s="2296"/>
      <c r="G128" s="2360"/>
      <c r="H128" s="2342"/>
      <c r="I128" s="2342"/>
      <c r="J128" s="2363"/>
      <c r="K128" s="2360"/>
      <c r="L128" s="2342"/>
      <c r="M128" s="2342"/>
      <c r="N128" s="2560"/>
      <c r="O128" s="2299"/>
      <c r="P128" s="2620" t="s">
        <v>106</v>
      </c>
      <c r="Q128" s="2620" t="s">
        <v>105</v>
      </c>
      <c r="R128" s="3014" t="s">
        <v>355</v>
      </c>
      <c r="S128" s="2918" t="s">
        <v>19</v>
      </c>
      <c r="T128" s="2314"/>
      <c r="U128" s="2314" t="s">
        <v>101</v>
      </c>
      <c r="V128" s="1946"/>
      <c r="W128" s="3013"/>
      <c r="X128" s="20291"/>
      <c r="Y128" s="1779"/>
      <c r="Z128" s="1779"/>
      <c r="AA128" s="1779"/>
      <c r="AB128" s="1779"/>
      <c r="AC128" s="20305" t="s">
        <v>286</v>
      </c>
      <c r="AD128" s="20305" t="s">
        <v>287</v>
      </c>
      <c r="AE128" s="20305" t="s">
        <v>352</v>
      </c>
      <c r="AF128" s="1779" t="s">
        <v>356</v>
      </c>
      <c r="AG128" s="1779" t="s">
        <v>357</v>
      </c>
      <c r="AH128" s="1779" t="str">
        <f>IF($E$79=0,"",$E$79)</f>
        <v>Тариф на питьевую воду (питьевое водоснабжение)</v>
      </c>
      <c r="AI128" s="1779" t="str">
        <f>IF($G$79=0,"",$G$79)</f>
        <v>Холодное водоснабжение. Питьевая вода</v>
      </c>
      <c r="AJ128" s="1779" t="str">
        <f>IF($J$79=0,"",$J$79)</f>
        <v>Тариф на питьевую воду для потребителей КГУП "Примтеплоэнерго"</v>
      </c>
      <c r="AK128" s="1779" t="str">
        <f>IF($K$126="нет","без дифференциации",IF($N$126=0,"",$N$126))</f>
        <v>Территория 14</v>
      </c>
      <c r="AL128" s="2356" t="str">
        <f>IF($O$128="нет","без дифференциации",IF($R$128=0,"",$R$128))</f>
        <v>МКР №1, №2, №3, №3-А, им. 50-летия Спасска, им. Блюхера, "Партизанский", "Заречная часть", п. Шиферный</v>
      </c>
      <c r="AM128" s="2356"/>
      <c r="AN128" s="1779">
        <f>$I$79</f>
        <v>1</v>
      </c>
      <c r="AO128" s="1779" t="str">
        <f>$I$79&amp;"."&amp;$M$126</f>
        <v>1.14</v>
      </c>
      <c r="AP128" s="1779" t="str">
        <f>$I$79&amp;"."&amp;$M$126&amp;"."&amp;$Q$128</f>
        <v>1.14.2</v>
      </c>
      <c r="AQ128" s="1779"/>
      <c r="AR128" s="20291"/>
    </row>
    <row customHeight="1" ht="17.25">
      <c r="A129" s="2352"/>
      <c r="B129" s="20291"/>
      <c r="C129" s="2357"/>
      <c r="D129" s="2342"/>
      <c r="E129" s="2359"/>
      <c r="F129" s="2296"/>
      <c r="G129" s="2360"/>
      <c r="H129" s="2342"/>
      <c r="I129" s="2342"/>
      <c r="J129" s="2363"/>
      <c r="K129" s="2360"/>
      <c r="L129" s="2342"/>
      <c r="M129" s="2342"/>
      <c r="N129" s="2560"/>
      <c r="O129" s="2299"/>
      <c r="P129" s="2620"/>
      <c r="Q129" s="2620"/>
      <c r="R129" s="3014"/>
      <c r="S129" s="2918"/>
      <c r="T129" s="1947"/>
      <c r="U129" s="1948"/>
      <c r="V129" s="1948"/>
      <c r="W129" s="3013"/>
      <c r="X129" s="20291"/>
      <c r="Y129" s="1771"/>
      <c r="Z129" s="1771"/>
      <c r="AA129" s="1771"/>
      <c r="AB129" s="1771"/>
      <c r="AC129" s="1771"/>
      <c r="AD129" s="1771"/>
      <c r="AE129" s="1771"/>
      <c r="AF129" s="1771"/>
      <c r="AG129" s="1771"/>
      <c r="AH129" s="1771"/>
      <c r="AI129" s="1771"/>
      <c r="AJ129" s="1771"/>
      <c r="AK129" s="1771"/>
      <c r="AL129" s="20291"/>
      <c r="AM129" s="20291"/>
      <c r="AN129" s="20291"/>
      <c r="AO129" s="20291"/>
      <c r="AP129" s="20291"/>
      <c r="AQ129" s="20291"/>
      <c r="AR129" s="20291"/>
    </row>
    <row customHeight="1" ht="17.25">
      <c r="A130" s="2352"/>
      <c r="B130" s="20291"/>
      <c r="C130" s="2357"/>
      <c r="D130" s="2342"/>
      <c r="E130" s="2359"/>
      <c r="F130" s="2296"/>
      <c r="G130" s="2360"/>
      <c r="H130" s="2342"/>
      <c r="I130" s="2342"/>
      <c r="J130" s="2363"/>
      <c r="K130" s="2360"/>
      <c r="L130" s="3015"/>
      <c r="M130" s="3015"/>
      <c r="N130" s="3017"/>
      <c r="O130" s="2624"/>
      <c r="P130" s="829"/>
      <c r="Q130" s="830"/>
      <c r="R130" s="830" t="s">
        <v>290</v>
      </c>
      <c r="S130" s="2358"/>
      <c r="T130" s="2358"/>
      <c r="U130" s="2358"/>
      <c r="V130" s="2358"/>
      <c r="W130" s="1945"/>
      <c r="X130" s="20291"/>
      <c r="Y130" s="1771"/>
      <c r="Z130" s="1771"/>
      <c r="AA130" s="1771"/>
      <c r="AB130" s="1771"/>
      <c r="AC130" s="1771"/>
      <c r="AD130" s="1771"/>
      <c r="AE130" s="1771"/>
      <c r="AF130" s="1771"/>
      <c r="AG130" s="1771"/>
      <c r="AH130" s="1771"/>
      <c r="AI130" s="1771"/>
      <c r="AJ130" s="1771"/>
      <c r="AK130" s="1771"/>
      <c r="AL130" s="20291"/>
      <c r="AM130" s="20291"/>
      <c r="AN130" s="20291"/>
      <c r="AO130" s="20291"/>
      <c r="AP130" s="20291"/>
      <c r="AQ130" s="20291"/>
      <c r="AR130" s="20291"/>
    </row>
    <row customHeight="1" ht="17.25">
      <c r="A131" s="2352"/>
      <c r="B131" s="20291"/>
      <c r="C131" s="2354"/>
      <c r="D131" s="2342"/>
      <c r="E131" s="2359"/>
      <c r="F131" s="2296"/>
      <c r="G131" s="2360"/>
      <c r="H131" s="2342"/>
      <c r="I131" s="2342"/>
      <c r="J131" s="2363"/>
      <c r="K131" s="2360"/>
      <c r="L131" s="2620" t="s">
        <v>106</v>
      </c>
      <c r="M131" s="2620" t="s">
        <v>168</v>
      </c>
      <c r="N131" s="3016" t="str">
        <f>IF(Z131="","",INDEX(TERRITORY_MR_LIST,MATCH(Z131,TERRITORY_LIST_ID,0)))</f>
        <v>Территория 15</v>
      </c>
      <c r="O131" s="2697" t="s">
        <v>63</v>
      </c>
      <c r="P131" s="2620"/>
      <c r="Q131" s="2620" t="s">
        <v>101</v>
      </c>
      <c r="R131" s="3014" t="s">
        <v>358</v>
      </c>
      <c r="S131" s="2918" t="s">
        <v>19</v>
      </c>
      <c r="T131" s="2314"/>
      <c r="U131" s="2314" t="s">
        <v>101</v>
      </c>
      <c r="V131" s="1946"/>
      <c r="W131" s="3013"/>
      <c r="X131" s="20291"/>
      <c r="Y131" s="1779"/>
      <c r="Z131" s="1779" t="s">
        <v>169</v>
      </c>
      <c r="AA131" s="1779"/>
      <c r="AB131" s="1779"/>
      <c r="AC131" s="20305" t="s">
        <v>286</v>
      </c>
      <c r="AD131" s="20305" t="s">
        <v>287</v>
      </c>
      <c r="AE131" s="1779" t="s">
        <v>359</v>
      </c>
      <c r="AF131" s="1779" t="s">
        <v>360</v>
      </c>
      <c r="AG131" s="1779" t="s">
        <v>361</v>
      </c>
      <c r="AH131" s="1779" t="str">
        <f>IF($E$79=0,"",$E$79)</f>
        <v>Тариф на питьевую воду (питьевое водоснабжение)</v>
      </c>
      <c r="AI131" s="1779" t="str">
        <f>IF($G$79=0,"",$G$79)</f>
        <v>Холодное водоснабжение. Питьевая вода</v>
      </c>
      <c r="AJ131" s="1779" t="str">
        <f>IF($J$79=0,"",$J$79)</f>
        <v>Тариф на питьевую воду для потребителей КГУП "Примтеплоэнерго"</v>
      </c>
      <c r="AK131" s="1779" t="str">
        <f>IF($K$131="нет","без дифференциации",IF($N$131=0,"",$N$131))</f>
        <v>Территория 15</v>
      </c>
      <c r="AL131" s="2356" t="str">
        <f>IF($O$131="нет","без дифференциации",IF($R$131=0,"",$R$131))</f>
        <v>ЗАТО город Фокино</v>
      </c>
      <c r="AM131" s="2356"/>
      <c r="AN131" s="1779">
        <f>$I$79</f>
        <v>1</v>
      </c>
      <c r="AO131" s="1779" t="str">
        <f>$I$79&amp;"."&amp;$M$131</f>
        <v>1.15</v>
      </c>
      <c r="AP131" s="1779" t="str">
        <f>$I$79&amp;"."&amp;$M$131&amp;"."&amp;$Q$131</f>
        <v>1.15.1</v>
      </c>
      <c r="AQ131" s="1779"/>
      <c r="AR131" s="20291"/>
    </row>
    <row customHeight="1" ht="17.25">
      <c r="A132" s="2352"/>
      <c r="B132" s="20291"/>
      <c r="C132" s="2357"/>
      <c r="D132" s="2342"/>
      <c r="E132" s="2359"/>
      <c r="F132" s="2296"/>
      <c r="G132" s="2360"/>
      <c r="H132" s="2342"/>
      <c r="I132" s="2342"/>
      <c r="J132" s="2363"/>
      <c r="K132" s="2360"/>
      <c r="L132" s="2620"/>
      <c r="M132" s="2620"/>
      <c r="N132" s="3016"/>
      <c r="O132" s="2698"/>
      <c r="P132" s="2620"/>
      <c r="Q132" s="2620"/>
      <c r="R132" s="3014"/>
      <c r="S132" s="2918"/>
      <c r="T132" s="1947"/>
      <c r="U132" s="1948"/>
      <c r="V132" s="1948"/>
      <c r="W132" s="3013"/>
      <c r="X132" s="20291"/>
      <c r="Y132" s="1771"/>
      <c r="Z132" s="1771"/>
      <c r="AA132" s="1771"/>
      <c r="AB132" s="1771"/>
      <c r="AC132" s="1771"/>
      <c r="AD132" s="1771"/>
      <c r="AE132" s="1771"/>
      <c r="AF132" s="1771"/>
      <c r="AG132" s="1771"/>
      <c r="AH132" s="1771"/>
      <c r="AI132" s="1771"/>
      <c r="AJ132" s="1771"/>
      <c r="AK132" s="1771"/>
      <c r="AL132" s="20291"/>
      <c r="AM132" s="20291"/>
      <c r="AN132" s="20291"/>
      <c r="AO132" s="20291"/>
      <c r="AP132" s="20291"/>
      <c r="AQ132" s="20291"/>
      <c r="AR132" s="20291"/>
    </row>
    <row customHeight="1" ht="17.25">
      <c r="A133" s="2352"/>
      <c r="B133" s="20291"/>
      <c r="C133" s="2354"/>
      <c r="D133" s="2342"/>
      <c r="E133" s="2359"/>
      <c r="F133" s="2296"/>
      <c r="G133" s="2360"/>
      <c r="H133" s="2342"/>
      <c r="I133" s="2342"/>
      <c r="J133" s="2363"/>
      <c r="K133" s="2360"/>
      <c r="L133" s="2342"/>
      <c r="M133" s="2342"/>
      <c r="N133" s="2560"/>
      <c r="O133" s="2299"/>
      <c r="P133" s="2620" t="s">
        <v>106</v>
      </c>
      <c r="Q133" s="2620" t="s">
        <v>105</v>
      </c>
      <c r="R133" s="3014" t="s">
        <v>362</v>
      </c>
      <c r="S133" s="2918" t="s">
        <v>19</v>
      </c>
      <c r="T133" s="2314"/>
      <c r="U133" s="2314" t="s">
        <v>101</v>
      </c>
      <c r="V133" s="1946"/>
      <c r="W133" s="3013"/>
      <c r="X133" s="20291"/>
      <c r="Y133" s="1779"/>
      <c r="Z133" s="1779"/>
      <c r="AA133" s="1779"/>
      <c r="AB133" s="1779"/>
      <c r="AC133" s="20305" t="s">
        <v>286</v>
      </c>
      <c r="AD133" s="20305" t="s">
        <v>287</v>
      </c>
      <c r="AE133" s="20305" t="s">
        <v>359</v>
      </c>
      <c r="AF133" s="1779" t="s">
        <v>363</v>
      </c>
      <c r="AG133" s="1779" t="s">
        <v>364</v>
      </c>
      <c r="AH133" s="1779" t="str">
        <f>IF($E$79=0,"",$E$79)</f>
        <v>Тариф на питьевую воду (питьевое водоснабжение)</v>
      </c>
      <c r="AI133" s="1779" t="str">
        <f>IF($G$79=0,"",$G$79)</f>
        <v>Холодное водоснабжение. Питьевая вода</v>
      </c>
      <c r="AJ133" s="1779" t="str">
        <f>IF($J$79=0,"",$J$79)</f>
        <v>Тариф на питьевую воду для потребителей КГУП "Примтеплоэнерго"</v>
      </c>
      <c r="AK133" s="1779" t="str">
        <f>IF($K$131="нет","без дифференциации",IF($N$131=0,"",$N$131))</f>
        <v>Территория 15</v>
      </c>
      <c r="AL133" s="2356" t="str">
        <f>IF($O$133="нет","без дифференциации",IF($R$133=0,"",$R$133))</f>
        <v>ЗАТО город Фокино (пгт. Путятин)</v>
      </c>
      <c r="AM133" s="2356"/>
      <c r="AN133" s="1779">
        <f>$I$79</f>
        <v>1</v>
      </c>
      <c r="AO133" s="1779" t="str">
        <f>$I$79&amp;"."&amp;$M$131</f>
        <v>1.15</v>
      </c>
      <c r="AP133" s="1779" t="str">
        <f>$I$79&amp;"."&amp;$M$131&amp;"."&amp;$Q$133</f>
        <v>1.15.2</v>
      </c>
      <c r="AQ133" s="1779"/>
      <c r="AR133" s="20291"/>
    </row>
    <row customHeight="1" ht="17.25">
      <c r="A134" s="2352"/>
      <c r="B134" s="20291"/>
      <c r="C134" s="2357"/>
      <c r="D134" s="2342"/>
      <c r="E134" s="2359"/>
      <c r="F134" s="2296"/>
      <c r="G134" s="2360"/>
      <c r="H134" s="2342"/>
      <c r="I134" s="2342"/>
      <c r="J134" s="2363"/>
      <c r="K134" s="2360"/>
      <c r="L134" s="2342"/>
      <c r="M134" s="2342"/>
      <c r="N134" s="2560"/>
      <c r="O134" s="2299"/>
      <c r="P134" s="2620"/>
      <c r="Q134" s="2620"/>
      <c r="R134" s="3014"/>
      <c r="S134" s="2918"/>
      <c r="T134" s="1947"/>
      <c r="U134" s="1948"/>
      <c r="V134" s="1948"/>
      <c r="W134" s="3013"/>
      <c r="X134" s="20291"/>
      <c r="Y134" s="1771"/>
      <c r="Z134" s="1771"/>
      <c r="AA134" s="1771"/>
      <c r="AB134" s="1771"/>
      <c r="AC134" s="1771"/>
      <c r="AD134" s="1771"/>
      <c r="AE134" s="1771"/>
      <c r="AF134" s="1771"/>
      <c r="AG134" s="1771"/>
      <c r="AH134" s="1771"/>
      <c r="AI134" s="1771"/>
      <c r="AJ134" s="1771"/>
      <c r="AK134" s="1771"/>
      <c r="AL134" s="20291"/>
      <c r="AM134" s="20291"/>
      <c r="AN134" s="20291"/>
      <c r="AO134" s="20291"/>
      <c r="AP134" s="20291"/>
      <c r="AQ134" s="20291"/>
      <c r="AR134" s="20291"/>
    </row>
    <row customHeight="1" ht="17.25">
      <c r="A135" s="2352"/>
      <c r="B135" s="20291"/>
      <c r="C135" s="2357"/>
      <c r="D135" s="2342"/>
      <c r="E135" s="2359"/>
      <c r="F135" s="2296"/>
      <c r="G135" s="2360"/>
      <c r="H135" s="2342"/>
      <c r="I135" s="2342"/>
      <c r="J135" s="2363"/>
      <c r="K135" s="2360"/>
      <c r="L135" s="3015"/>
      <c r="M135" s="3015"/>
      <c r="N135" s="3017"/>
      <c r="O135" s="2624"/>
      <c r="P135" s="829"/>
      <c r="Q135" s="830"/>
      <c r="R135" s="830" t="s">
        <v>290</v>
      </c>
      <c r="S135" s="2358"/>
      <c r="T135" s="2358"/>
      <c r="U135" s="2358"/>
      <c r="V135" s="2358"/>
      <c r="W135" s="1945"/>
      <c r="X135" s="20291"/>
      <c r="Y135" s="1771"/>
      <c r="Z135" s="1771"/>
      <c r="AA135" s="1771"/>
      <c r="AB135" s="1771"/>
      <c r="AC135" s="1771"/>
      <c r="AD135" s="1771"/>
      <c r="AE135" s="1771"/>
      <c r="AF135" s="1771"/>
      <c r="AG135" s="1771"/>
      <c r="AH135" s="1771"/>
      <c r="AI135" s="1771"/>
      <c r="AJ135" s="1771"/>
      <c r="AK135" s="1771"/>
      <c r="AL135" s="20291"/>
      <c r="AM135" s="20291"/>
      <c r="AN135" s="20291"/>
      <c r="AO135" s="20291"/>
      <c r="AP135" s="20291"/>
      <c r="AQ135" s="20291"/>
      <c r="AR135" s="20291"/>
    </row>
    <row s="51018" customFormat="1" customHeight="1" ht="17.25">
      <c r="A136" s="833"/>
      <c r="C136" s="832"/>
      <c r="D136" s="2647"/>
      <c r="E136" s="2655"/>
      <c r="F136" s="2658"/>
      <c r="G136" s="6953"/>
      <c r="H136" s="6965"/>
      <c r="I136" s="6965"/>
      <c r="J136" s="6966"/>
      <c r="K136" s="6968"/>
      <c r="L136" s="6978"/>
      <c r="M136" s="6979"/>
      <c r="N136" s="6980" t="s">
        <v>365</v>
      </c>
      <c r="O136" s="6981"/>
      <c r="P136" s="6982"/>
      <c r="Q136" s="6983"/>
      <c r="R136" s="6984"/>
      <c r="S136" s="6985"/>
      <c r="T136" s="6986"/>
      <c r="U136" s="6987"/>
      <c r="V136" s="6988"/>
      <c r="W136" s="6989"/>
      <c r="Y136" s="1771"/>
      <c r="Z136" s="1771"/>
      <c r="AA136" s="1771"/>
      <c r="AB136" s="1771"/>
      <c r="AC136" s="1771"/>
      <c r="AD136" s="1771"/>
      <c r="AE136" s="1771"/>
      <c r="AF136" s="1771"/>
      <c r="AG136" s="1771"/>
      <c r="AH136" s="1771"/>
      <c r="AI136" s="1771"/>
      <c r="AJ136" s="1771"/>
      <c r="AK136" s="1771"/>
      <c r="AL136" s="1771"/>
      <c r="AM136" s="1771"/>
      <c r="AN136" s="1771"/>
      <c r="AO136" s="1771"/>
      <c r="AP136" s="1771"/>
      <c r="AQ136" s="1771"/>
      <c r="AR136" s="1953">
        <v>0</v>
      </c>
    </row>
    <row s="51018" customFormat="1" customHeight="1" ht="17.25">
      <c r="A137" s="833"/>
      <c r="C137" s="832"/>
      <c r="D137" s="2648"/>
      <c r="E137" s="2656"/>
      <c r="F137" s="2659"/>
      <c r="G137" s="6990"/>
      <c r="H137" s="6991"/>
      <c r="I137" s="6992"/>
      <c r="J137" s="6993" t="s">
        <v>366</v>
      </c>
      <c r="K137" s="6994"/>
      <c r="L137" s="6995"/>
      <c r="M137" s="6996"/>
      <c r="N137" s="6997"/>
      <c r="O137" s="6998"/>
      <c r="P137" s="6999"/>
      <c r="Q137" s="7000"/>
      <c r="R137" s="7001"/>
      <c r="S137" s="7002"/>
      <c r="T137" s="7003"/>
      <c r="U137" s="7004"/>
      <c r="V137" s="7005"/>
      <c r="W137" s="7006"/>
      <c r="Y137" s="1771"/>
      <c r="Z137" s="1771"/>
      <c r="AA137" s="1771"/>
      <c r="AB137" s="1771"/>
      <c r="AC137" s="1771"/>
      <c r="AD137" s="1771"/>
      <c r="AE137" s="1771"/>
      <c r="AF137" s="1771"/>
      <c r="AG137" s="1771"/>
      <c r="AH137" s="1771"/>
      <c r="AI137" s="1771"/>
      <c r="AJ137" s="1771"/>
      <c r="AK137" s="1771"/>
      <c r="AL137" s="1771"/>
      <c r="AM137" s="1771"/>
      <c r="AN137" s="1771"/>
      <c r="AO137" s="1771"/>
      <c r="AP137" s="1771"/>
      <c r="AQ137" s="1771"/>
      <c r="AR137" s="1862">
        <v>0</v>
      </c>
    </row>
    <row s="51018" customFormat="1" customHeight="1" ht="17.25">
      <c r="A138" s="833"/>
      <c r="C138" s="721"/>
      <c r="D138" s="2647">
        <v>2</v>
      </c>
      <c r="E138" s="2655" t="s">
        <v>367</v>
      </c>
      <c r="F138" s="2657" t="s">
        <v>63</v>
      </c>
      <c r="G138" s="51269" t="str">
        <f>INDEX(VD_NAME_LIST,MATCH("4189672",VD_ID_LIST,0))</f>
        <v>Холодное водоснабжение. Техническая вода</v>
      </c>
      <c r="H138" s="51270"/>
      <c r="I138" s="51270">
        <v>1</v>
      </c>
      <c r="J138" s="51271" t="s">
        <v>367</v>
      </c>
      <c r="K138" s="51272" t="s">
        <v>63</v>
      </c>
      <c r="L138" s="51273"/>
      <c r="M138" s="51273" t="s">
        <v>101</v>
      </c>
      <c r="N138" s="51274" t="str">
        <f>IF(Z138="","",INDEX(TERRITORY_MR_LIST,MATCH(Z138,TERRITORY_LIST_ID,0)))</f>
        <v>Территория 14</v>
      </c>
      <c r="O138" s="51272" t="s">
        <v>63</v>
      </c>
      <c r="P138" s="51273"/>
      <c r="Q138" s="51273" t="s">
        <v>101</v>
      </c>
      <c r="R138" s="51275" t="s">
        <v>355</v>
      </c>
      <c r="S138" s="51276" t="s">
        <v>19</v>
      </c>
      <c r="T138" s="51276"/>
      <c r="U138" s="51276" t="s">
        <v>101</v>
      </c>
      <c r="V138" s="51277"/>
      <c r="W138" s="51271"/>
      <c r="X138" s="1779"/>
      <c r="Y138" s="1779"/>
      <c r="Z138" s="1779" t="s">
        <v>165</v>
      </c>
      <c r="AA138" s="1779"/>
      <c r="AB138" s="1779" t="s">
        <v>368</v>
      </c>
      <c r="AC138" s="1779" t="s">
        <v>369</v>
      </c>
      <c r="AD138" s="1779" t="s">
        <v>370</v>
      </c>
      <c r="AE138" s="1779" t="s">
        <v>371</v>
      </c>
      <c r="AF138" s="1779" t="s">
        <v>372</v>
      </c>
      <c r="AG138" s="1779"/>
      <c r="AH138" s="1779" t="str">
        <f>IF($E$138=0,"",$E$138)</f>
        <v>Тариф на техническую воду</v>
      </c>
      <c r="AI138" s="1779" t="str">
        <f>IF($G$138=0,"",$G$138)</f>
        <v>Холодное водоснабжение. Техническая вода</v>
      </c>
      <c r="AJ138" s="1779" t="str">
        <f>IF($J$138=0,"",$J$138)</f>
        <v>Тариф на техническую воду</v>
      </c>
      <c r="AK138" s="1779" t="str">
        <f>IF($K$138="нет","без дифференциации",IF($N$138=0,"",$N$138))</f>
        <v>Территория 14</v>
      </c>
      <c r="AL138" s="1779" t="str">
        <f>IF($O$138="нет","без дифференциации",IF($R$138=0,"",$R$138))</f>
        <v>МКР №1, №2, №3, №3-А, им. 50-летия Спасска, им. Блюхера, "Партизанский", "Заречная часть", п. Шиферный</v>
      </c>
      <c r="AM138" s="1779" t="str">
        <f>IF($S$138="нет","без дифференциации",IF($V$138=0,"",$V$138))</f>
        <v>без дифференциации</v>
      </c>
      <c r="AN138" s="2284">
        <f>$I$138</f>
        <v>1</v>
      </c>
      <c r="AO138" s="1779" t="str">
        <f>$I$138&amp;"."&amp;$M$138</f>
        <v>1.1</v>
      </c>
      <c r="AP138" s="1771" t="str">
        <f>$I$138&amp;"."&amp;$M$138&amp;"."&amp;$Q$138</f>
        <v>1.1.1</v>
      </c>
      <c r="AQ138" s="1771" t="str">
        <f>$I$138&amp;"."&amp;$M$138&amp;"."&amp;$Q$138&amp;"."&amp;$U$138</f>
        <v>1.1.1.1</v>
      </c>
      <c r="AR138" s="1862">
        <v>0</v>
      </c>
    </row>
    <row s="51018" customFormat="1" customHeight="1" ht="17.25">
      <c r="A139" s="833"/>
      <c r="C139" s="832"/>
      <c r="D139" s="2647"/>
      <c r="E139" s="2655"/>
      <c r="F139" s="2658"/>
      <c r="G139" s="51269"/>
      <c r="H139" s="51270"/>
      <c r="I139" s="51270"/>
      <c r="J139" s="51271"/>
      <c r="K139" s="51278"/>
      <c r="L139" s="51273"/>
      <c r="M139" s="51273"/>
      <c r="N139" s="51274"/>
      <c r="O139" s="51278"/>
      <c r="P139" s="51273"/>
      <c r="Q139" s="51273"/>
      <c r="R139" s="51275"/>
      <c r="S139" s="51276"/>
      <c r="T139" s="51279"/>
      <c r="U139" s="51280"/>
      <c r="V139" s="51280"/>
      <c r="W139" s="51271"/>
      <c r="X139" s="1771"/>
      <c r="Y139" s="1771"/>
      <c r="Z139" s="1771"/>
      <c r="AA139" s="1771"/>
      <c r="AB139" s="1771"/>
      <c r="AC139" s="1771"/>
      <c r="AD139" s="1771"/>
      <c r="AE139" s="1771"/>
      <c r="AF139" s="1771"/>
      <c r="AG139" s="1771"/>
      <c r="AH139" s="1771"/>
      <c r="AI139" s="1771"/>
      <c r="AJ139" s="1771"/>
      <c r="AK139" s="1771"/>
      <c r="AL139" s="1771"/>
      <c r="AM139" s="1771"/>
      <c r="AN139" s="1771"/>
      <c r="AO139" s="1771"/>
      <c r="AP139" s="1771"/>
      <c r="AQ139" s="1771"/>
      <c r="AR139" s="1862">
        <v>0</v>
      </c>
    </row>
    <row s="51018" customFormat="1" customHeight="1" ht="17.25">
      <c r="A140" s="833"/>
      <c r="C140" s="832"/>
      <c r="D140" s="2648"/>
      <c r="E140" s="2656"/>
      <c r="F140" s="2658"/>
      <c r="G140" s="51281"/>
      <c r="H140" s="51282"/>
      <c r="I140" s="51282"/>
      <c r="J140" s="51283"/>
      <c r="K140" s="51278"/>
      <c r="L140" s="51282"/>
      <c r="M140" s="51282"/>
      <c r="N140" s="51284"/>
      <c r="O140" s="51285"/>
      <c r="P140" s="51286"/>
      <c r="Q140" s="51287"/>
      <c r="R140" s="51288" t="s">
        <v>290</v>
      </c>
      <c r="S140" s="51289"/>
      <c r="T140" s="51290"/>
      <c r="U140" s="51291"/>
      <c r="V140" s="51292"/>
      <c r="W140" s="51293"/>
      <c r="X140" s="1771"/>
      <c r="Y140" s="1771"/>
      <c r="Z140" s="1771"/>
      <c r="AA140" s="1771"/>
      <c r="AB140" s="1771"/>
      <c r="AC140" s="1771"/>
      <c r="AD140" s="1771"/>
      <c r="AE140" s="1771"/>
      <c r="AF140" s="1771"/>
      <c r="AG140" s="1771"/>
      <c r="AH140" s="1771"/>
      <c r="AI140" s="1771"/>
      <c r="AJ140" s="1771"/>
      <c r="AK140" s="1771"/>
      <c r="AL140" s="1771"/>
      <c r="AM140" s="1771"/>
      <c r="AN140" s="1771"/>
      <c r="AO140" s="1771"/>
      <c r="AP140" s="1771"/>
      <c r="AQ140" s="1771"/>
      <c r="AR140" s="1862">
        <v>0</v>
      </c>
    </row>
    <row s="51018" customFormat="1" customHeight="1" ht="17.25">
      <c r="A141" s="833"/>
      <c r="C141" s="832"/>
      <c r="D141" s="2648"/>
      <c r="E141" s="2656"/>
      <c r="F141" s="2658"/>
      <c r="G141" s="51281"/>
      <c r="H141" s="51282"/>
      <c r="I141" s="51282"/>
      <c r="J141" s="51283"/>
      <c r="K141" s="51285"/>
      <c r="L141" s="51294"/>
      <c r="M141" s="51295"/>
      <c r="N141" s="51296" t="s">
        <v>365</v>
      </c>
      <c r="O141" s="51297"/>
      <c r="P141" s="51298"/>
      <c r="Q141" s="51299"/>
      <c r="R141" s="51300"/>
      <c r="S141" s="51301"/>
      <c r="T141" s="51302"/>
      <c r="U141" s="51303"/>
      <c r="V141" s="51304"/>
      <c r="W141" s="51305"/>
      <c r="X141" s="1771"/>
      <c r="Y141" s="1771"/>
      <c r="Z141" s="1771"/>
      <c r="AA141" s="1771"/>
      <c r="AB141" s="1771"/>
      <c r="AC141" s="1771"/>
      <c r="AD141" s="1771"/>
      <c r="AE141" s="1771"/>
      <c r="AF141" s="1771"/>
      <c r="AG141" s="1771"/>
      <c r="AH141" s="1771"/>
      <c r="AI141" s="1771"/>
      <c r="AJ141" s="1771"/>
      <c r="AK141" s="1771"/>
      <c r="AL141" s="1771"/>
      <c r="AM141" s="1771"/>
      <c r="AN141" s="1771"/>
      <c r="AO141" s="1771"/>
      <c r="AP141" s="1771"/>
      <c r="AQ141" s="1771"/>
      <c r="AR141" s="1862">
        <v>0</v>
      </c>
    </row>
    <row s="51018" customFormat="1" customHeight="1" ht="17.25">
      <c r="A142" s="833"/>
      <c r="C142" s="832"/>
      <c r="D142" s="2648"/>
      <c r="E142" s="2656"/>
      <c r="F142" s="2659"/>
      <c r="G142" s="51281"/>
      <c r="H142" s="51306"/>
      <c r="I142" s="51307"/>
      <c r="J142" s="51308" t="s">
        <v>366</v>
      </c>
      <c r="K142" s="51309"/>
      <c r="L142" s="51310"/>
      <c r="M142" s="51311"/>
      <c r="N142" s="51312"/>
      <c r="O142" s="51313"/>
      <c r="P142" s="51314"/>
      <c r="Q142" s="51315"/>
      <c r="R142" s="51316"/>
      <c r="S142" s="51317"/>
      <c r="T142" s="51318"/>
      <c r="U142" s="51319"/>
      <c r="V142" s="51320"/>
      <c r="W142" s="51321"/>
      <c r="X142" s="1771"/>
      <c r="Y142" s="1771"/>
      <c r="Z142" s="1771"/>
      <c r="AA142" s="1771"/>
      <c r="AB142" s="1771"/>
      <c r="AC142" s="1771"/>
      <c r="AD142" s="1771"/>
      <c r="AE142" s="1771"/>
      <c r="AF142" s="1771"/>
      <c r="AG142" s="1771"/>
      <c r="AH142" s="1771"/>
      <c r="AI142" s="1771"/>
      <c r="AJ142" s="1771"/>
      <c r="AK142" s="1771"/>
      <c r="AL142" s="1771"/>
      <c r="AM142" s="1771"/>
      <c r="AN142" s="1771"/>
      <c r="AO142" s="1771"/>
      <c r="AP142" s="1771"/>
      <c r="AQ142" s="1771"/>
      <c r="AR142" s="1862">
        <v>0</v>
      </c>
    </row>
    <row s="51018" customFormat="1" customHeight="1" ht="17.25">
      <c r="A143" s="833"/>
      <c r="C143" s="721"/>
      <c r="D143" s="2647">
        <v>3</v>
      </c>
      <c r="E143" s="2655" t="s">
        <v>373</v>
      </c>
      <c r="F143" s="2657" t="s">
        <v>19</v>
      </c>
      <c r="G143" s="2655"/>
      <c r="H143" s="2660"/>
      <c r="I143" s="2662"/>
      <c r="J143" s="2664"/>
      <c r="K143" s="2649"/>
      <c r="L143" s="2649"/>
      <c r="M143" s="2649"/>
      <c r="N143" s="2651"/>
      <c r="O143" s="2649"/>
      <c r="P143" s="2649"/>
      <c r="Q143" s="2649"/>
      <c r="R143" s="2654"/>
      <c r="S143" s="2649"/>
      <c r="T143" s="1955"/>
      <c r="U143" s="1955"/>
      <c r="V143" s="1957"/>
      <c r="W143" s="1808"/>
      <c r="X143" s="1779"/>
      <c r="Y143" s="1779"/>
      <c r="Z143" s="1779"/>
      <c r="AA143" s="1779"/>
      <c r="AB143" s="1779"/>
      <c r="AC143" s="1779" t="s">
        <v>374</v>
      </c>
      <c r="AD143" s="1779" t="s">
        <v>375</v>
      </c>
      <c r="AE143" s="1779" t="s">
        <v>376</v>
      </c>
      <c r="AF143" s="1779" t="s">
        <v>377</v>
      </c>
      <c r="AG143" s="1779"/>
      <c r="AH143" s="1779" t="str">
        <f>IF($E$143=0,"",$E$143)</f>
        <v>Тариф на транспортировку воды</v>
      </c>
      <c r="AI143" s="1779" t="str">
        <f>IF($G$143=0,"",$G$143)</f>
        <v/>
      </c>
      <c r="AJ143" s="1779" t="str">
        <f>IF($J$143=0,"",$J$143)</f>
        <v/>
      </c>
      <c r="AK143" s="1779" t="str">
        <f>IF($K$143="нет","без дифференциации",IF($N$143=0,"",$N$143))</f>
        <v/>
      </c>
      <c r="AL143" s="1779" t="str">
        <f>IF($O$143="нет","без дифференциации",IF($R$143=0,"",$R$143))</f>
        <v/>
      </c>
      <c r="AM143" s="1779" t="str">
        <f>IF($S$143="нет","без дифференциации",IF($V$143=0,"",$V$143))</f>
        <v/>
      </c>
      <c r="AN143" s="2284">
        <f>$I$143</f>
        <v>0</v>
      </c>
      <c r="AO143" s="1779" t="str">
        <f>$I$143&amp;"."&amp;$M$143</f>
        <v>.</v>
      </c>
      <c r="AP143" s="1771" t="str">
        <f>$I$143&amp;"."&amp;$M$143&amp;"."&amp;$Q$143</f>
        <v>..</v>
      </c>
      <c r="AQ143" s="1771" t="str">
        <f>$I$143&amp;"."&amp;$M$143&amp;"."&amp;$Q$143&amp;"."&amp;$U$143</f>
        <v>...</v>
      </c>
      <c r="AR143" s="1862">
        <v>0</v>
      </c>
    </row>
    <row s="51018" customFormat="1" customHeight="1" ht="17.25">
      <c r="A144" s="833"/>
      <c r="C144" s="832"/>
      <c r="D144" s="2647"/>
      <c r="E144" s="2655"/>
      <c r="F144" s="2658"/>
      <c r="G144" s="2655"/>
      <c r="H144" s="2661"/>
      <c r="I144" s="2663"/>
      <c r="J144" s="2665"/>
      <c r="K144" s="2650"/>
      <c r="L144" s="2650"/>
      <c r="M144" s="2650"/>
      <c r="N144" s="2652"/>
      <c r="O144" s="2650"/>
      <c r="P144" s="2650"/>
      <c r="Q144" s="2650"/>
      <c r="R144" s="2653"/>
      <c r="S144" s="2650"/>
      <c r="T144" s="1809"/>
      <c r="U144" s="1809"/>
      <c r="V144" s="1809"/>
      <c r="W144" s="1810"/>
      <c r="X144" s="1771"/>
      <c r="Y144" s="1771"/>
      <c r="Z144" s="1771"/>
      <c r="AA144" s="1771"/>
      <c r="AB144" s="1771"/>
      <c r="AC144" s="1771"/>
      <c r="AD144" s="1771"/>
      <c r="AE144" s="1771"/>
      <c r="AF144" s="1771"/>
      <c r="AG144" s="1771"/>
      <c r="AH144" s="1771"/>
      <c r="AI144" s="1771"/>
      <c r="AJ144" s="1771"/>
      <c r="AK144" s="1771"/>
      <c r="AL144" s="1771"/>
      <c r="AM144" s="1771"/>
      <c r="AN144" s="1771"/>
      <c r="AO144" s="1771"/>
      <c r="AP144" s="1771"/>
      <c r="AQ144" s="1771"/>
      <c r="AR144" s="1862">
        <v>0</v>
      </c>
    </row>
    <row s="51018" customFormat="1" customHeight="1" ht="17.25">
      <c r="A145" s="833"/>
      <c r="C145" s="832"/>
      <c r="D145" s="2648"/>
      <c r="E145" s="2656"/>
      <c r="F145" s="2658"/>
      <c r="G145" s="2656"/>
      <c r="H145" s="2661"/>
      <c r="I145" s="2663"/>
      <c r="J145" s="2666"/>
      <c r="K145" s="2650"/>
      <c r="L145" s="2650"/>
      <c r="M145" s="2650"/>
      <c r="N145" s="2653"/>
      <c r="O145" s="2650"/>
      <c r="P145" s="1956"/>
      <c r="Q145" s="1809"/>
      <c r="R145" s="1809"/>
      <c r="S145" s="841"/>
      <c r="T145" s="841"/>
      <c r="U145" s="841"/>
      <c r="V145" s="841"/>
      <c r="W145" s="1810"/>
      <c r="X145" s="1771"/>
      <c r="Y145" s="1771"/>
      <c r="Z145" s="1771"/>
      <c r="AA145" s="1771"/>
      <c r="AB145" s="1771"/>
      <c r="AC145" s="1771"/>
      <c r="AD145" s="1771"/>
      <c r="AE145" s="1771"/>
      <c r="AF145" s="1771"/>
      <c r="AG145" s="1771"/>
      <c r="AH145" s="1771"/>
      <c r="AI145" s="1771"/>
      <c r="AJ145" s="1771"/>
      <c r="AK145" s="1771"/>
      <c r="AL145" s="1771"/>
      <c r="AM145" s="1771"/>
      <c r="AN145" s="1771"/>
      <c r="AO145" s="1771"/>
      <c r="AP145" s="1771"/>
      <c r="AQ145" s="1771"/>
      <c r="AR145" s="1862">
        <v>0</v>
      </c>
    </row>
    <row s="51018" customFormat="1" customHeight="1" ht="17.25">
      <c r="A146" s="833"/>
      <c r="C146" s="832"/>
      <c r="D146" s="2648"/>
      <c r="E146" s="2656"/>
      <c r="F146" s="2658"/>
      <c r="G146" s="2656"/>
      <c r="H146" s="2661"/>
      <c r="I146" s="2663"/>
      <c r="J146" s="2666"/>
      <c r="K146" s="2650"/>
      <c r="L146" s="1809"/>
      <c r="M146" s="1809"/>
      <c r="N146" s="1809"/>
      <c r="O146" s="1809"/>
      <c r="P146" s="1809"/>
      <c r="Q146" s="1809"/>
      <c r="R146" s="1809"/>
      <c r="S146" s="841"/>
      <c r="T146" s="841"/>
      <c r="U146" s="841"/>
      <c r="V146" s="841"/>
      <c r="W146" s="1810"/>
      <c r="X146" s="1771"/>
      <c r="Y146" s="1771"/>
      <c r="Z146" s="1771"/>
      <c r="AA146" s="1771"/>
      <c r="AB146" s="1771"/>
      <c r="AC146" s="1771"/>
      <c r="AD146" s="1771"/>
      <c r="AE146" s="1771"/>
      <c r="AF146" s="1771"/>
      <c r="AG146" s="1771"/>
      <c r="AH146" s="1771"/>
      <c r="AI146" s="1771"/>
      <c r="AJ146" s="1771"/>
      <c r="AK146" s="1771"/>
      <c r="AL146" s="1771"/>
      <c r="AM146" s="1771"/>
      <c r="AN146" s="1771"/>
      <c r="AO146" s="1771"/>
      <c r="AP146" s="1771"/>
      <c r="AQ146" s="1771"/>
      <c r="AR146" s="1862">
        <v>0</v>
      </c>
    </row>
    <row s="51018" customFormat="1" customHeight="1" ht="17.25">
      <c r="A147" s="833"/>
      <c r="C147" s="832"/>
      <c r="D147" s="2648"/>
      <c r="E147" s="2656"/>
      <c r="F147" s="2659"/>
      <c r="G147" s="2656"/>
      <c r="H147" s="1811"/>
      <c r="I147" s="1812"/>
      <c r="J147" s="1812"/>
      <c r="K147" s="1812"/>
      <c r="L147" s="1812"/>
      <c r="M147" s="1812"/>
      <c r="N147" s="1812"/>
      <c r="O147" s="1812"/>
      <c r="P147" s="1812"/>
      <c r="Q147" s="1812"/>
      <c r="R147" s="1812"/>
      <c r="S147" s="1813"/>
      <c r="T147" s="1813"/>
      <c r="U147" s="1813"/>
      <c r="V147" s="1813"/>
      <c r="W147" s="1814"/>
      <c r="X147" s="1771"/>
      <c r="Y147" s="1771"/>
      <c r="Z147" s="1771"/>
      <c r="AA147" s="1771"/>
      <c r="AB147" s="1771"/>
      <c r="AC147" s="1771"/>
      <c r="AD147" s="1771"/>
      <c r="AE147" s="1771"/>
      <c r="AF147" s="1771"/>
      <c r="AG147" s="1771"/>
      <c r="AH147" s="1771"/>
      <c r="AI147" s="1771"/>
      <c r="AJ147" s="1771"/>
      <c r="AK147" s="1771"/>
      <c r="AL147" s="1771"/>
      <c r="AM147" s="1771"/>
      <c r="AN147" s="1771"/>
      <c r="AO147" s="1771"/>
      <c r="AP147" s="1771"/>
      <c r="AQ147" s="1771"/>
      <c r="AR147" s="1862">
        <v>0</v>
      </c>
    </row>
    <row s="51018" customFormat="1" customHeight="1" ht="17.25">
      <c r="A148" s="833"/>
      <c r="C148" s="721"/>
      <c r="D148" s="2647">
        <v>4</v>
      </c>
      <c r="E148" s="2655" t="s">
        <v>378</v>
      </c>
      <c r="F148" s="2657" t="s">
        <v>19</v>
      </c>
      <c r="G148" s="7010" t="s">
        <v>28</v>
      </c>
      <c r="H148" s="7011"/>
      <c r="I148" s="7012"/>
      <c r="J148" s="7013"/>
      <c r="K148" s="7014"/>
      <c r="L148" s="7014"/>
      <c r="M148" s="7014"/>
      <c r="N148" s="7015"/>
      <c r="O148" s="7014"/>
      <c r="P148" s="7014"/>
      <c r="Q148" s="7014"/>
      <c r="R148" s="7016"/>
      <c r="S148" s="7014"/>
      <c r="T148" s="7014"/>
      <c r="U148" s="7014"/>
      <c r="V148" s="7016"/>
      <c r="W148" s="7017"/>
      <c r="X148" s="1779"/>
      <c r="Y148" s="1779"/>
      <c r="Z148" s="1779" t="s">
        <v>100</v>
      </c>
      <c r="AA148" s="1779"/>
      <c r="AB148" s="1779"/>
      <c r="AC148" s="1779" t="s">
        <v>379</v>
      </c>
      <c r="AD148" s="1779" t="s">
        <v>380</v>
      </c>
      <c r="AE148" s="1779" t="s">
        <v>381</v>
      </c>
      <c r="AF148" s="1779" t="s">
        <v>382</v>
      </c>
      <c r="AG148" s="1779"/>
      <c r="AH148" s="1779" t="str">
        <f>IF($E$148=0,"",$E$148)</f>
        <v>Тариф на подвоз воды</v>
      </c>
      <c r="AI148" s="1779" t="str">
        <f>IF($G$148=0,"",$G$148)</f>
        <v/>
      </c>
      <c r="AJ148" s="1779" t="str">
        <f>IF($J$148=0,"",$J$148)</f>
        <v/>
      </c>
      <c r="AK148" s="1779" t="str">
        <f>IF($K$148="нет","без дифференциации",IF($N$148=0,"",$N$148))</f>
        <v/>
      </c>
      <c r="AL148" s="1779" t="str">
        <f>IF($O$148="нет","без дифференциации",IF($R$148=0,"",$R$148))</f>
        <v/>
      </c>
      <c r="AM148" s="1779" t="str">
        <f>IF($S$148="нет","без дифференциации",IF($V$148=0,"",$V$148))</f>
        <v/>
      </c>
      <c r="AN148" s="2284">
        <f>$I$148</f>
        <v>0</v>
      </c>
      <c r="AO148" s="1779" t="str">
        <f>$I$148&amp;"."&amp;$M$148</f>
        <v>.</v>
      </c>
      <c r="AP148" s="1771" t="str">
        <f>$I$148&amp;"."&amp;$M$148&amp;"."&amp;$Q$148</f>
        <v>..</v>
      </c>
      <c r="AQ148" s="1771" t="str">
        <f>$I$148&amp;"."&amp;$M$148&amp;"."&amp;$Q$148&amp;"."&amp;$U$148</f>
        <v>...</v>
      </c>
      <c r="AR148" s="1862">
        <v>0</v>
      </c>
    </row>
    <row s="51018" customFormat="1" customHeight="1" ht="17.25">
      <c r="A149" s="833"/>
      <c r="C149" s="832"/>
      <c r="D149" s="2647"/>
      <c r="E149" s="2655"/>
      <c r="F149" s="2658"/>
      <c r="G149" s="7010" t="s">
        <v>28</v>
      </c>
      <c r="H149" s="7018"/>
      <c r="I149" s="7019"/>
      <c r="J149" s="7020"/>
      <c r="K149" s="7021"/>
      <c r="L149" s="7021"/>
      <c r="M149" s="7021"/>
      <c r="N149" s="7022"/>
      <c r="O149" s="7021"/>
      <c r="P149" s="7021"/>
      <c r="Q149" s="7021"/>
      <c r="R149" s="7023"/>
      <c r="S149" s="7021"/>
      <c r="T149" s="7024"/>
      <c r="U149" s="7024"/>
      <c r="V149" s="7024"/>
      <c r="W149" s="7025"/>
      <c r="X149" s="1771"/>
      <c r="Y149" s="1771"/>
      <c r="Z149" s="1771"/>
      <c r="AA149" s="1771"/>
      <c r="AB149" s="1771"/>
      <c r="AC149" s="1771"/>
      <c r="AD149" s="1771"/>
      <c r="AE149" s="1771"/>
      <c r="AF149" s="1771"/>
      <c r="AG149" s="1771"/>
      <c r="AH149" s="1771"/>
      <c r="AI149" s="1771"/>
      <c r="AJ149" s="1771"/>
      <c r="AK149" s="1771"/>
      <c r="AL149" s="1771"/>
      <c r="AM149" s="1771"/>
      <c r="AN149" s="1771"/>
      <c r="AO149" s="1771"/>
      <c r="AP149" s="1771"/>
      <c r="AQ149" s="1771"/>
      <c r="AR149" s="1862">
        <v>0</v>
      </c>
    </row>
    <row s="51018" customFormat="1" customHeight="1" ht="17.25">
      <c r="A150" s="833"/>
      <c r="C150" s="832"/>
      <c r="D150" s="2648"/>
      <c r="E150" s="2656"/>
      <c r="F150" s="2658"/>
      <c r="G150" s="7026" t="s">
        <v>28</v>
      </c>
      <c r="H150" s="7018"/>
      <c r="I150" s="7019"/>
      <c r="J150" s="7027"/>
      <c r="K150" s="7021"/>
      <c r="L150" s="7021"/>
      <c r="M150" s="7021"/>
      <c r="N150" s="7023"/>
      <c r="O150" s="7021"/>
      <c r="P150" s="7021"/>
      <c r="Q150" s="7024"/>
      <c r="R150" s="7024"/>
      <c r="S150" s="7028"/>
      <c r="T150" s="7028"/>
      <c r="U150" s="7028"/>
      <c r="V150" s="7028"/>
      <c r="W150" s="7025"/>
      <c r="X150" s="1771"/>
      <c r="Y150" s="1771"/>
      <c r="Z150" s="1771"/>
      <c r="AA150" s="1771"/>
      <c r="AB150" s="1771"/>
      <c r="AC150" s="1771"/>
      <c r="AD150" s="1771"/>
      <c r="AE150" s="1771"/>
      <c r="AF150" s="1771"/>
      <c r="AG150" s="1771"/>
      <c r="AH150" s="1771"/>
      <c r="AI150" s="1771"/>
      <c r="AJ150" s="1771"/>
      <c r="AK150" s="1771"/>
      <c r="AL150" s="1771"/>
      <c r="AM150" s="1771"/>
      <c r="AN150" s="1771"/>
      <c r="AO150" s="1771"/>
      <c r="AP150" s="1771"/>
      <c r="AQ150" s="1771"/>
      <c r="AR150" s="1862">
        <v>0</v>
      </c>
    </row>
    <row s="51018" customFormat="1" customHeight="1" ht="17.25">
      <c r="A151" s="833"/>
      <c r="C151" s="832"/>
      <c r="D151" s="2648"/>
      <c r="E151" s="2656"/>
      <c r="F151" s="2658"/>
      <c r="G151" s="7026" t="s">
        <v>28</v>
      </c>
      <c r="H151" s="7018"/>
      <c r="I151" s="7019"/>
      <c r="J151" s="7027"/>
      <c r="K151" s="7021"/>
      <c r="L151" s="7024"/>
      <c r="M151" s="7024"/>
      <c r="N151" s="7024"/>
      <c r="O151" s="7024"/>
      <c r="P151" s="7024"/>
      <c r="Q151" s="7024"/>
      <c r="R151" s="7024"/>
      <c r="S151" s="7028"/>
      <c r="T151" s="7028"/>
      <c r="U151" s="7028"/>
      <c r="V151" s="7028"/>
      <c r="W151" s="7025"/>
      <c r="X151" s="1771"/>
      <c r="Y151" s="1771"/>
      <c r="Z151" s="1771"/>
      <c r="AA151" s="1771"/>
      <c r="AB151" s="1771"/>
      <c r="AC151" s="1771"/>
      <c r="AD151" s="1771"/>
      <c r="AE151" s="1771"/>
      <c r="AF151" s="1771"/>
      <c r="AG151" s="1771"/>
      <c r="AH151" s="1771"/>
      <c r="AI151" s="1771"/>
      <c r="AJ151" s="1771"/>
      <c r="AK151" s="1771"/>
      <c r="AL151" s="1771"/>
      <c r="AM151" s="1771"/>
      <c r="AN151" s="1771"/>
      <c r="AO151" s="1771"/>
      <c r="AP151" s="1771"/>
      <c r="AQ151" s="1771"/>
      <c r="AR151" s="1862">
        <v>0</v>
      </c>
    </row>
    <row s="51018" customFormat="1" customHeight="1" ht="17.25">
      <c r="A152" s="833"/>
      <c r="C152" s="832"/>
      <c r="D152" s="2648"/>
      <c r="E152" s="2656"/>
      <c r="F152" s="2659"/>
      <c r="G152" s="7026" t="s">
        <v>28</v>
      </c>
      <c r="H152" s="7029"/>
      <c r="I152" s="7030"/>
      <c r="J152" s="7030"/>
      <c r="K152" s="7030"/>
      <c r="L152" s="7030"/>
      <c r="M152" s="7030"/>
      <c r="N152" s="7030"/>
      <c r="O152" s="7030"/>
      <c r="P152" s="7030"/>
      <c r="Q152" s="7030"/>
      <c r="R152" s="7030"/>
      <c r="S152" s="7031"/>
      <c r="T152" s="7031"/>
      <c r="U152" s="7031"/>
      <c r="V152" s="7031"/>
      <c r="W152" s="7032"/>
      <c r="X152" s="1771"/>
      <c r="Y152" s="1771"/>
      <c r="Z152" s="1771"/>
      <c r="AA152" s="1771"/>
      <c r="AB152" s="1771"/>
      <c r="AC152" s="1771"/>
      <c r="AD152" s="1771"/>
      <c r="AE152" s="1771"/>
      <c r="AF152" s="1771"/>
      <c r="AG152" s="1771"/>
      <c r="AH152" s="1771"/>
      <c r="AI152" s="1771"/>
      <c r="AJ152" s="1771"/>
      <c r="AK152" s="1771"/>
      <c r="AL152" s="1771"/>
      <c r="AM152" s="1771"/>
      <c r="AN152" s="1771"/>
      <c r="AO152" s="1771"/>
      <c r="AP152" s="1771"/>
      <c r="AQ152" s="1771"/>
      <c r="AR152" s="1862">
        <v>0</v>
      </c>
    </row>
    <row s="51018" customFormat="1" customHeight="1" ht="17.25">
      <c r="A153" s="833"/>
      <c r="C153" s="721"/>
      <c r="D153" s="2647">
        <v>5</v>
      </c>
      <c r="E153" s="2655" t="s">
        <v>383</v>
      </c>
      <c r="F153" s="2657" t="s">
        <v>19</v>
      </c>
      <c r="G153" s="2655"/>
      <c r="H153" s="2660"/>
      <c r="I153" s="2662"/>
      <c r="J153" s="2664"/>
      <c r="K153" s="2649"/>
      <c r="L153" s="2649"/>
      <c r="M153" s="2649"/>
      <c r="N153" s="2651"/>
      <c r="O153" s="2649"/>
      <c r="P153" s="2649"/>
      <c r="Q153" s="2649"/>
      <c r="R153" s="2654"/>
      <c r="S153" s="2649"/>
      <c r="T153" s="2455"/>
      <c r="U153" s="2455"/>
      <c r="V153" s="2457"/>
      <c r="W153" s="1808"/>
      <c r="X153" s="1779"/>
      <c r="Y153" s="1779"/>
      <c r="Z153" s="1779"/>
      <c r="AA153" s="1779"/>
      <c r="AB153" s="1779"/>
      <c r="AC153" s="1779" t="s">
        <v>384</v>
      </c>
      <c r="AD153" s="1779" t="s">
        <v>385</v>
      </c>
      <c r="AE153" s="1779" t="s">
        <v>386</v>
      </c>
      <c r="AF153" s="1779" t="s">
        <v>387</v>
      </c>
      <c r="AG153" s="1779"/>
      <c r="AH153" s="1779" t="str">
        <f>IF($E$153=0,"",$E$153)</f>
        <v>Тариф на подключение (технологическое присоединение) к централизованной системе холодного водоснабжения</v>
      </c>
      <c r="AI153" s="1779" t="str">
        <f>IF($G$153=0,"",$G$153)</f>
        <v/>
      </c>
      <c r="AJ153" s="1779" t="str">
        <f>IF($J$153=0,"",$J$153)</f>
        <v/>
      </c>
      <c r="AK153" s="1779" t="str">
        <f>IF($K$153="нет","без дифференциации",IF($N$153=0,"",$N$153))</f>
        <v/>
      </c>
      <c r="AL153" s="1779" t="str">
        <f>IF($O$153="нет","без дифференциации",IF($R$153=0,"",$R$153))</f>
        <v/>
      </c>
      <c r="AM153" s="1779" t="str">
        <f>IF($S$153="нет","без дифференциации",IF($V$153=0,"",$V$153))</f>
        <v/>
      </c>
      <c r="AN153" s="2284">
        <f>$I$153</f>
        <v>0</v>
      </c>
      <c r="AO153" s="1779" t="str">
        <f>$I$153&amp;"."&amp;$M$153</f>
        <v>.</v>
      </c>
      <c r="AP153" s="1778" t="str">
        <f>$I$153&amp;"."&amp;$M$153&amp;"."&amp;$Q$153</f>
        <v>..</v>
      </c>
      <c r="AQ153" s="1778" t="str">
        <f>$I$153&amp;"."&amp;$M$153&amp;"."&amp;$Q$153&amp;"."&amp;$U$153</f>
        <v>...</v>
      </c>
      <c r="AR153" s="1979">
        <v>0</v>
      </c>
    </row>
    <row s="51018" customFormat="1" customHeight="1" ht="17.25">
      <c r="A154" s="833"/>
      <c r="C154" s="832"/>
      <c r="D154" s="2647"/>
      <c r="E154" s="2655"/>
      <c r="F154" s="2658"/>
      <c r="G154" s="2655"/>
      <c r="H154" s="2661"/>
      <c r="I154" s="2663"/>
      <c r="J154" s="2665"/>
      <c r="K154" s="2650"/>
      <c r="L154" s="2650"/>
      <c r="M154" s="2650"/>
      <c r="N154" s="2652"/>
      <c r="O154" s="2650"/>
      <c r="P154" s="2650"/>
      <c r="Q154" s="2650"/>
      <c r="R154" s="2653"/>
      <c r="S154" s="2650"/>
      <c r="T154" s="2460"/>
      <c r="U154" s="2460"/>
      <c r="V154" s="2460"/>
      <c r="W154" s="2461"/>
      <c r="X154" s="1778"/>
      <c r="Y154" s="1778"/>
      <c r="Z154" s="1778"/>
      <c r="AA154" s="1778"/>
      <c r="AB154" s="1778"/>
      <c r="AC154" s="1778"/>
      <c r="AD154" s="1778"/>
      <c r="AE154" s="1778"/>
      <c r="AF154" s="1778"/>
      <c r="AG154" s="1778"/>
      <c r="AH154" s="1778"/>
      <c r="AI154" s="1778"/>
      <c r="AJ154" s="1778"/>
      <c r="AK154" s="1778"/>
      <c r="AL154" s="1778"/>
      <c r="AM154" s="1778"/>
      <c r="AN154" s="1778"/>
      <c r="AO154" s="1778"/>
      <c r="AP154" s="1778"/>
      <c r="AQ154" s="1778"/>
      <c r="AR154" s="1979">
        <v>0</v>
      </c>
    </row>
    <row s="51018" customFormat="1" customHeight="1" ht="17.25">
      <c r="A155" s="833"/>
      <c r="C155" s="832"/>
      <c r="D155" s="2648"/>
      <c r="E155" s="2656"/>
      <c r="F155" s="2658"/>
      <c r="G155" s="2656"/>
      <c r="H155" s="2661"/>
      <c r="I155" s="2663"/>
      <c r="J155" s="2666"/>
      <c r="K155" s="2650"/>
      <c r="L155" s="2650"/>
      <c r="M155" s="2650"/>
      <c r="N155" s="2653"/>
      <c r="O155" s="2650"/>
      <c r="P155" s="2456"/>
      <c r="Q155" s="2460"/>
      <c r="R155" s="2460"/>
      <c r="S155" s="841"/>
      <c r="T155" s="841"/>
      <c r="U155" s="841"/>
      <c r="V155" s="841"/>
      <c r="W155" s="2461"/>
      <c r="X155" s="1778"/>
      <c r="Y155" s="1778"/>
      <c r="Z155" s="1778"/>
      <c r="AA155" s="1778"/>
      <c r="AB155" s="1778"/>
      <c r="AC155" s="1778"/>
      <c r="AD155" s="1778"/>
      <c r="AE155" s="1778"/>
      <c r="AF155" s="1778"/>
      <c r="AG155" s="1778"/>
      <c r="AH155" s="1778"/>
      <c r="AI155" s="1778"/>
      <c r="AJ155" s="1778"/>
      <c r="AK155" s="1778"/>
      <c r="AL155" s="1778"/>
      <c r="AM155" s="1778"/>
      <c r="AN155" s="1778"/>
      <c r="AO155" s="1778"/>
      <c r="AP155" s="1778"/>
      <c r="AQ155" s="1778"/>
      <c r="AR155" s="1979">
        <v>0</v>
      </c>
    </row>
    <row s="51018" customFormat="1" customHeight="1" ht="17.25">
      <c r="A156" s="833"/>
      <c r="C156" s="832"/>
      <c r="D156" s="2648"/>
      <c r="E156" s="2656"/>
      <c r="F156" s="2658"/>
      <c r="G156" s="2656"/>
      <c r="H156" s="2661"/>
      <c r="I156" s="2663"/>
      <c r="J156" s="2666"/>
      <c r="K156" s="2650"/>
      <c r="L156" s="2460"/>
      <c r="M156" s="2460"/>
      <c r="N156" s="2460"/>
      <c r="O156" s="2460"/>
      <c r="P156" s="2460"/>
      <c r="Q156" s="2460"/>
      <c r="R156" s="2460"/>
      <c r="S156" s="841"/>
      <c r="T156" s="841"/>
      <c r="U156" s="841"/>
      <c r="V156" s="841"/>
      <c r="W156" s="2461"/>
      <c r="X156" s="1778"/>
      <c r="Y156" s="1778"/>
      <c r="Z156" s="1778"/>
      <c r="AA156" s="1778"/>
      <c r="AB156" s="1778"/>
      <c r="AC156" s="1778"/>
      <c r="AD156" s="1778"/>
      <c r="AE156" s="1778"/>
      <c r="AF156" s="1778"/>
      <c r="AG156" s="1778"/>
      <c r="AH156" s="1778"/>
      <c r="AI156" s="1778"/>
      <c r="AJ156" s="1778"/>
      <c r="AK156" s="1778"/>
      <c r="AL156" s="1778"/>
      <c r="AM156" s="1778"/>
      <c r="AN156" s="1778"/>
      <c r="AO156" s="1778"/>
      <c r="AP156" s="1778"/>
      <c r="AQ156" s="1778"/>
      <c r="AR156" s="1979">
        <v>0</v>
      </c>
    </row>
    <row s="51018" customFormat="1" customHeight="1" ht="17.25">
      <c r="A157" s="833"/>
      <c r="C157" s="832"/>
      <c r="D157" s="2648"/>
      <c r="E157" s="2656"/>
      <c r="F157" s="2659"/>
      <c r="G157" s="2656"/>
      <c r="H157" s="1811"/>
      <c r="I157" s="2458"/>
      <c r="J157" s="2458"/>
      <c r="K157" s="2458"/>
      <c r="L157" s="2458"/>
      <c r="M157" s="2458"/>
      <c r="N157" s="2458"/>
      <c r="O157" s="2458"/>
      <c r="P157" s="2458"/>
      <c r="Q157" s="2458"/>
      <c r="R157" s="2458"/>
      <c r="S157" s="1813"/>
      <c r="T157" s="1813"/>
      <c r="U157" s="1813"/>
      <c r="V157" s="1813"/>
      <c r="W157" s="2459"/>
      <c r="X157" s="1778"/>
      <c r="Y157" s="1778"/>
      <c r="Z157" s="1778"/>
      <c r="AA157" s="1778"/>
      <c r="AB157" s="1778"/>
      <c r="AC157" s="1778"/>
      <c r="AD157" s="1778"/>
      <c r="AE157" s="1778"/>
      <c r="AF157" s="1778"/>
      <c r="AG157" s="1778"/>
      <c r="AH157" s="1778"/>
      <c r="AI157" s="1778"/>
      <c r="AJ157" s="1778"/>
      <c r="AK157" s="1778"/>
      <c r="AL157" s="1778"/>
      <c r="AM157" s="1778"/>
      <c r="AN157" s="1778"/>
      <c r="AO157" s="1778"/>
      <c r="AP157" s="1778"/>
      <c r="AQ157" s="1778"/>
      <c r="AR157" s="1979">
        <v>0</v>
      </c>
    </row>
    <row s="51018" customFormat="1" customHeight="1" ht="11.25" hidden="1">
      <c r="A158" s="789"/>
      <c r="B158" s="789"/>
      <c r="Y158" s="1771"/>
      <c r="Z158" s="1771"/>
      <c r="AA158" s="1771"/>
      <c r="AB158" s="1771"/>
      <c r="AC158" s="1771"/>
      <c r="AD158" s="1771"/>
      <c r="AE158" s="1771"/>
      <c r="AF158" s="1771"/>
      <c r="AG158" s="1771"/>
      <c r="AH158" s="1771"/>
      <c r="AI158" s="1771"/>
      <c r="AJ158" s="1771"/>
      <c r="AK158" s="1771"/>
      <c r="AL158" s="1771"/>
      <c r="AM158" s="1771"/>
      <c r="AN158" s="1771"/>
      <c r="AO158" s="1771"/>
      <c r="AP158" s="1771"/>
      <c r="AQ158" s="1771"/>
      <c r="AR158" s="1979">
        <v>0</v>
      </c>
    </row>
    <row s="51018" customFormat="1" customHeight="1" ht="17.25" hidden="1">
      <c r="A159" s="833"/>
      <c r="C159" s="721"/>
      <c r="D159" s="2647">
        <v>1</v>
      </c>
      <c r="E159" s="2655" t="s">
        <v>388</v>
      </c>
      <c r="F159" s="2657" t="s">
        <v>19</v>
      </c>
      <c r="G159" s="2655"/>
      <c r="H159" s="2660"/>
      <c r="I159" s="2662"/>
      <c r="J159" s="2664"/>
      <c r="K159" s="2649"/>
      <c r="L159" s="2649"/>
      <c r="M159" s="2649"/>
      <c r="N159" s="2651"/>
      <c r="O159" s="2649"/>
      <c r="P159" s="2649"/>
      <c r="Q159" s="2649"/>
      <c r="R159" s="2654"/>
      <c r="S159" s="2649"/>
      <c r="T159" s="1982"/>
      <c r="U159" s="1982"/>
      <c r="V159" s="1984"/>
      <c r="W159" s="1808"/>
      <c r="Y159" s="1779"/>
      <c r="Z159" s="1779"/>
      <c r="AA159" s="1779"/>
      <c r="AB159" s="1779"/>
      <c r="AC159" s="1779" t="s">
        <v>389</v>
      </c>
      <c r="AD159" s="1779" t="s">
        <v>390</v>
      </c>
      <c r="AE159" s="1779" t="s">
        <v>391</v>
      </c>
      <c r="AF159" s="1779" t="s">
        <v>392</v>
      </c>
      <c r="AG159" s="1779"/>
      <c r="AH159" s="1779" t="str">
        <f>IF($E$159=0,"",$E$159)</f>
        <v>Тариф на горячую воду (горячее водоснабжение)</v>
      </c>
      <c r="AI159" s="1779" t="str">
        <f>IF($G$159=0,"",$G$159)</f>
        <v/>
      </c>
      <c r="AJ159" s="1779" t="str">
        <f>IF($J$159=0,"",$J$159)</f>
        <v/>
      </c>
      <c r="AK159" s="1779" t="str">
        <f>IF($K$159="нет","без дифференциации",IF($N$159=0,"",$N$159))</f>
        <v/>
      </c>
      <c r="AL159" s="1779" t="str">
        <f>IF($O$159="нет","без дифференциации",IF($R$159=0,"",$R$159))</f>
        <v/>
      </c>
      <c r="AM159" s="1779" t="str">
        <f>IF($S$159="нет","без дифференциации",IF($V$159=0,"",$V$159))</f>
        <v/>
      </c>
      <c r="AN159" s="1779">
        <f>$I$159</f>
        <v>0</v>
      </c>
      <c r="AO159" s="1779" t="str">
        <f>$I$159&amp;"."&amp;$M$159</f>
        <v>.</v>
      </c>
      <c r="AP159" s="1779" t="str">
        <f>$I$159&amp;"."&amp;$M$159&amp;"."&amp;$Q$159</f>
        <v>..</v>
      </c>
      <c r="AQ159" s="1779" t="str">
        <f>$I$159&amp;"."&amp;$M$159&amp;"."&amp;$Q$159&amp;"."&amp;$U$159</f>
        <v>...</v>
      </c>
      <c r="AR159" s="1979">
        <v>0</v>
      </c>
    </row>
    <row s="51018" customFormat="1" customHeight="1" ht="17.25" hidden="1">
      <c r="A160" s="833"/>
      <c r="C160" s="832"/>
      <c r="D160" s="2647"/>
      <c r="E160" s="2655"/>
      <c r="F160" s="2658"/>
      <c r="G160" s="2655"/>
      <c r="H160" s="2661"/>
      <c r="I160" s="2663"/>
      <c r="J160" s="2665"/>
      <c r="K160" s="2650"/>
      <c r="L160" s="2650"/>
      <c r="M160" s="2650"/>
      <c r="N160" s="2652"/>
      <c r="O160" s="2650"/>
      <c r="P160" s="2650"/>
      <c r="Q160" s="2650"/>
      <c r="R160" s="2653"/>
      <c r="S160" s="2650"/>
      <c r="T160" s="1809"/>
      <c r="U160" s="1809"/>
      <c r="V160" s="1809"/>
      <c r="W160" s="1810"/>
      <c r="Y160" s="1771"/>
      <c r="Z160" s="1771"/>
      <c r="AA160" s="1771"/>
      <c r="AB160" s="1771"/>
      <c r="AC160" s="1771"/>
      <c r="AD160" s="1771"/>
      <c r="AE160" s="1771"/>
      <c r="AF160" s="1771"/>
      <c r="AG160" s="1771"/>
      <c r="AH160" s="1771"/>
      <c r="AI160" s="1771"/>
      <c r="AJ160" s="1771"/>
      <c r="AK160" s="1771"/>
      <c r="AL160" s="1771"/>
      <c r="AM160" s="1771"/>
      <c r="AN160" s="1771"/>
      <c r="AO160" s="1771"/>
      <c r="AP160" s="1771"/>
      <c r="AQ160" s="1771"/>
      <c r="AR160" s="1979">
        <v>0</v>
      </c>
    </row>
    <row s="51018" customFormat="1" customHeight="1" ht="17.25" hidden="1">
      <c r="A161" s="833"/>
      <c r="C161" s="721"/>
      <c r="D161" s="2647"/>
      <c r="E161" s="2655"/>
      <c r="F161" s="2658"/>
      <c r="G161" s="2655"/>
      <c r="H161" s="2661"/>
      <c r="I161" s="2663"/>
      <c r="J161" s="2666"/>
      <c r="K161" s="2650"/>
      <c r="L161" s="2650"/>
      <c r="M161" s="2650"/>
      <c r="N161" s="2653"/>
      <c r="O161" s="2650"/>
      <c r="P161" s="1983"/>
      <c r="Q161" s="1809"/>
      <c r="R161" s="1809"/>
      <c r="S161" s="841"/>
      <c r="T161" s="841"/>
      <c r="U161" s="841"/>
      <c r="V161" s="841"/>
      <c r="W161" s="1810"/>
      <c r="Y161" s="1779"/>
      <c r="Z161" s="1779"/>
      <c r="AA161" s="1779"/>
      <c r="AB161" s="1779"/>
      <c r="AC161" s="1779"/>
      <c r="AD161" s="1779"/>
      <c r="AE161" s="1779"/>
      <c r="AF161" s="1779"/>
      <c r="AG161" s="1779"/>
      <c r="AH161" s="1779"/>
      <c r="AI161" s="1779"/>
      <c r="AJ161" s="1779"/>
      <c r="AK161" s="1779"/>
      <c r="AL161" s="1779"/>
      <c r="AM161" s="1779"/>
      <c r="AN161" s="1779"/>
      <c r="AO161" s="1779"/>
      <c r="AP161" s="1779"/>
      <c r="AQ161" s="1779"/>
      <c r="AR161" s="1979">
        <v>0</v>
      </c>
    </row>
    <row s="51018" customFormat="1" customHeight="1" ht="17.25" hidden="1">
      <c r="A162" s="833"/>
      <c r="C162" s="832"/>
      <c r="D162" s="2647"/>
      <c r="E162" s="2655"/>
      <c r="F162" s="2658"/>
      <c r="G162" s="2655"/>
      <c r="H162" s="2661"/>
      <c r="I162" s="2663"/>
      <c r="J162" s="2666"/>
      <c r="K162" s="2650"/>
      <c r="L162" s="1809"/>
      <c r="M162" s="1809"/>
      <c r="N162" s="1809"/>
      <c r="O162" s="1809"/>
      <c r="P162" s="1809"/>
      <c r="Q162" s="1809"/>
      <c r="R162" s="1809"/>
      <c r="S162" s="841"/>
      <c r="T162" s="841"/>
      <c r="U162" s="841"/>
      <c r="V162" s="841"/>
      <c r="W162" s="1810"/>
      <c r="Y162" s="1771"/>
      <c r="Z162" s="1771"/>
      <c r="AA162" s="1771"/>
      <c r="AB162" s="1771"/>
      <c r="AC162" s="1771"/>
      <c r="AD162" s="1771"/>
      <c r="AE162" s="1771"/>
      <c r="AF162" s="1771"/>
      <c r="AG162" s="1771"/>
      <c r="AH162" s="1771"/>
      <c r="AI162" s="1771"/>
      <c r="AJ162" s="1771"/>
      <c r="AK162" s="1771"/>
      <c r="AL162" s="1771"/>
      <c r="AM162" s="1771"/>
      <c r="AN162" s="1771"/>
      <c r="AO162" s="1771"/>
      <c r="AP162" s="1771"/>
      <c r="AQ162" s="1771"/>
      <c r="AR162" s="1979">
        <v>0</v>
      </c>
    </row>
    <row s="51018" customFormat="1" customHeight="1" ht="17.25" hidden="1">
      <c r="A163" s="833"/>
      <c r="C163" s="832"/>
      <c r="D163" s="2648"/>
      <c r="E163" s="2656"/>
      <c r="F163" s="2659"/>
      <c r="G163" s="2656"/>
      <c r="H163" s="1811"/>
      <c r="I163" s="1812"/>
      <c r="J163" s="1812"/>
      <c r="K163" s="1812"/>
      <c r="L163" s="1812"/>
      <c r="M163" s="1812"/>
      <c r="N163" s="1812"/>
      <c r="O163" s="1812"/>
      <c r="P163" s="1812"/>
      <c r="Q163" s="1812"/>
      <c r="R163" s="1812"/>
      <c r="S163" s="1813"/>
      <c r="T163" s="1813"/>
      <c r="U163" s="1813"/>
      <c r="V163" s="1813"/>
      <c r="W163" s="1814"/>
      <c r="Y163" s="1771"/>
      <c r="Z163" s="1771"/>
      <c r="AA163" s="1771"/>
      <c r="AB163" s="1771"/>
      <c r="AC163" s="1771"/>
      <c r="AD163" s="1771"/>
      <c r="AE163" s="1771"/>
      <c r="AF163" s="1771"/>
      <c r="AG163" s="1771"/>
      <c r="AH163" s="1771"/>
      <c r="AI163" s="1771"/>
      <c r="AJ163" s="1771"/>
      <c r="AK163" s="1771"/>
      <c r="AL163" s="1771"/>
      <c r="AM163" s="1771"/>
      <c r="AN163" s="1771"/>
      <c r="AO163" s="1771"/>
      <c r="AP163" s="1771"/>
      <c r="AQ163" s="1771"/>
      <c r="AR163" s="1979">
        <v>0</v>
      </c>
    </row>
    <row s="51018" customFormat="1" customHeight="1" ht="17.25" hidden="1">
      <c r="A164" s="833"/>
      <c r="C164" s="721"/>
      <c r="D164" s="2647">
        <v>2</v>
      </c>
      <c r="E164" s="2655" t="s">
        <v>393</v>
      </c>
      <c r="F164" s="2657" t="s">
        <v>19</v>
      </c>
      <c r="G164" s="2655"/>
      <c r="H164" s="2660"/>
      <c r="I164" s="2662"/>
      <c r="J164" s="2664"/>
      <c r="K164" s="2649"/>
      <c r="L164" s="2649"/>
      <c r="M164" s="2649"/>
      <c r="N164" s="2651"/>
      <c r="O164" s="2649"/>
      <c r="P164" s="2649"/>
      <c r="Q164" s="2649"/>
      <c r="R164" s="2654"/>
      <c r="S164" s="2649"/>
      <c r="T164" s="1982"/>
      <c r="U164" s="1982"/>
      <c r="V164" s="1984"/>
      <c r="W164" s="1808"/>
      <c r="X164" s="1779"/>
      <c r="Y164" s="1779"/>
      <c r="Z164" s="1779"/>
      <c r="AA164" s="1779"/>
      <c r="AB164" s="1779"/>
      <c r="AC164" s="1779" t="s">
        <v>394</v>
      </c>
      <c r="AD164" s="1779" t="s">
        <v>395</v>
      </c>
      <c r="AE164" s="1779" t="s">
        <v>396</v>
      </c>
      <c r="AF164" s="1779" t="s">
        <v>397</v>
      </c>
      <c r="AG164" s="1779"/>
      <c r="AH164" s="1779" t="str">
        <f>IF($E$164=0,"",$E$164)</f>
        <v>Тариф на транспортировку горячей воды</v>
      </c>
      <c r="AI164" s="1779" t="str">
        <f>IF($G$164=0,"",$G$164)</f>
        <v/>
      </c>
      <c r="AJ164" s="1779" t="str">
        <f>IF($J$164=0,"",$J$164)</f>
        <v/>
      </c>
      <c r="AK164" s="1779" t="str">
        <f>IF($K$164="нет","без дифференциации",IF($N$164=0,"",$N$164))</f>
        <v/>
      </c>
      <c r="AL164" s="1779" t="str">
        <f>IF($O$164="нет","без дифференциации",IF($R$164=0,"",$R$164))</f>
        <v/>
      </c>
      <c r="AM164" s="1779" t="str">
        <f>IF($S$164="нет","без дифференциации",IF($V$164=0,"",$V$164))</f>
        <v/>
      </c>
      <c r="AN164" s="2284">
        <f>$I$164</f>
        <v>0</v>
      </c>
      <c r="AO164" s="1779" t="str">
        <f>$I$164&amp;"."&amp;$M$164</f>
        <v>.</v>
      </c>
      <c r="AP164" s="1771" t="str">
        <f>$I$164&amp;"."&amp;$M$164&amp;"."&amp;$Q$164</f>
        <v>..</v>
      </c>
      <c r="AQ164" s="1771" t="str">
        <f>$I$164&amp;"."&amp;$M$164&amp;"."&amp;$Q$164&amp;"."&amp;$U$164</f>
        <v>...</v>
      </c>
      <c r="AR164" s="1979">
        <v>0</v>
      </c>
    </row>
    <row s="51018" customFormat="1" customHeight="1" ht="17.25" hidden="1">
      <c r="A165" s="833"/>
      <c r="C165" s="832"/>
      <c r="D165" s="2647"/>
      <c r="E165" s="2655"/>
      <c r="F165" s="2658"/>
      <c r="G165" s="2655"/>
      <c r="H165" s="2661"/>
      <c r="I165" s="2663"/>
      <c r="J165" s="2665"/>
      <c r="K165" s="2650"/>
      <c r="L165" s="2650"/>
      <c r="M165" s="2650"/>
      <c r="N165" s="2652"/>
      <c r="O165" s="2650"/>
      <c r="P165" s="2650"/>
      <c r="Q165" s="2650"/>
      <c r="R165" s="2653"/>
      <c r="S165" s="2650"/>
      <c r="T165" s="1809"/>
      <c r="U165" s="1809"/>
      <c r="V165" s="1809"/>
      <c r="W165" s="1810"/>
      <c r="X165" s="1771"/>
      <c r="Y165" s="1771"/>
      <c r="Z165" s="1771"/>
      <c r="AA165" s="1771"/>
      <c r="AB165" s="1771"/>
      <c r="AC165" s="1771"/>
      <c r="AD165" s="1771"/>
      <c r="AE165" s="1771"/>
      <c r="AF165" s="1771"/>
      <c r="AG165" s="1771"/>
      <c r="AH165" s="1771"/>
      <c r="AI165" s="1771"/>
      <c r="AJ165" s="1771"/>
      <c r="AK165" s="1771"/>
      <c r="AL165" s="1771"/>
      <c r="AM165" s="1771"/>
      <c r="AN165" s="1771"/>
      <c r="AO165" s="1771"/>
      <c r="AP165" s="1771"/>
      <c r="AQ165" s="1771"/>
      <c r="AR165" s="1979">
        <v>0</v>
      </c>
    </row>
    <row s="51018" customFormat="1" customHeight="1" ht="17.25" hidden="1">
      <c r="A166" s="833"/>
      <c r="C166" s="832"/>
      <c r="D166" s="2648"/>
      <c r="E166" s="2656"/>
      <c r="F166" s="2658"/>
      <c r="G166" s="2656"/>
      <c r="H166" s="2661"/>
      <c r="I166" s="2663"/>
      <c r="J166" s="2666"/>
      <c r="K166" s="2650"/>
      <c r="L166" s="2650"/>
      <c r="M166" s="2650"/>
      <c r="N166" s="2653"/>
      <c r="O166" s="2650"/>
      <c r="P166" s="1983"/>
      <c r="Q166" s="1809"/>
      <c r="R166" s="1809"/>
      <c r="S166" s="841"/>
      <c r="T166" s="841"/>
      <c r="U166" s="841"/>
      <c r="V166" s="841"/>
      <c r="W166" s="1810"/>
      <c r="X166" s="1771"/>
      <c r="Y166" s="1771"/>
      <c r="Z166" s="1771"/>
      <c r="AA166" s="1771"/>
      <c r="AB166" s="1771"/>
      <c r="AC166" s="1771"/>
      <c r="AD166" s="1771"/>
      <c r="AE166" s="1771"/>
      <c r="AF166" s="1771"/>
      <c r="AG166" s="1771"/>
      <c r="AH166" s="1771"/>
      <c r="AI166" s="1771"/>
      <c r="AJ166" s="1771"/>
      <c r="AK166" s="1771"/>
      <c r="AL166" s="1771"/>
      <c r="AM166" s="1771"/>
      <c r="AN166" s="1771"/>
      <c r="AO166" s="1771"/>
      <c r="AP166" s="1771"/>
      <c r="AQ166" s="1771"/>
      <c r="AR166" s="1979">
        <v>0</v>
      </c>
    </row>
    <row s="51018" customFormat="1" customHeight="1" ht="17.25" hidden="1">
      <c r="A167" s="833"/>
      <c r="C167" s="832"/>
      <c r="D167" s="2648"/>
      <c r="E167" s="2656"/>
      <c r="F167" s="2658"/>
      <c r="G167" s="2656"/>
      <c r="H167" s="2661"/>
      <c r="I167" s="2663"/>
      <c r="J167" s="2666"/>
      <c r="K167" s="2650"/>
      <c r="L167" s="1809"/>
      <c r="M167" s="1809"/>
      <c r="N167" s="1809"/>
      <c r="O167" s="1809"/>
      <c r="P167" s="1809"/>
      <c r="Q167" s="1809"/>
      <c r="R167" s="1809"/>
      <c r="S167" s="841"/>
      <c r="T167" s="841"/>
      <c r="U167" s="841"/>
      <c r="V167" s="841"/>
      <c r="W167" s="1810"/>
      <c r="X167" s="1771"/>
      <c r="Y167" s="1771"/>
      <c r="Z167" s="1771"/>
      <c r="AA167" s="1771"/>
      <c r="AB167" s="1771"/>
      <c r="AC167" s="1771"/>
      <c r="AD167" s="1771"/>
      <c r="AE167" s="1771"/>
      <c r="AF167" s="1771"/>
      <c r="AG167" s="1771"/>
      <c r="AH167" s="1771"/>
      <c r="AI167" s="1771"/>
      <c r="AJ167" s="1771"/>
      <c r="AK167" s="1771"/>
      <c r="AL167" s="1771"/>
      <c r="AM167" s="1771"/>
      <c r="AN167" s="1771"/>
      <c r="AO167" s="1771"/>
      <c r="AP167" s="1771"/>
      <c r="AQ167" s="1771"/>
      <c r="AR167" s="1979">
        <v>0</v>
      </c>
    </row>
    <row s="51018" customFormat="1" customHeight="1" ht="17.25" hidden="1">
      <c r="A168" s="833"/>
      <c r="C168" s="832"/>
      <c r="D168" s="2648"/>
      <c r="E168" s="2656"/>
      <c r="F168" s="2659"/>
      <c r="G168" s="2656"/>
      <c r="H168" s="1811"/>
      <c r="I168" s="1812"/>
      <c r="J168" s="1812"/>
      <c r="K168" s="1812"/>
      <c r="L168" s="1812"/>
      <c r="M168" s="1812"/>
      <c r="N168" s="1812"/>
      <c r="O168" s="1812"/>
      <c r="P168" s="1812"/>
      <c r="Q168" s="1812"/>
      <c r="R168" s="1812"/>
      <c r="S168" s="1813"/>
      <c r="T168" s="1813"/>
      <c r="U168" s="1813"/>
      <c r="V168" s="1813"/>
      <c r="W168" s="1814"/>
      <c r="X168" s="1771"/>
      <c r="Y168" s="1771"/>
      <c r="Z168" s="1771"/>
      <c r="AA168" s="1771"/>
      <c r="AB168" s="1771"/>
      <c r="AC168" s="1771"/>
      <c r="AD168" s="1771"/>
      <c r="AE168" s="1771"/>
      <c r="AF168" s="1771"/>
      <c r="AG168" s="1771"/>
      <c r="AH168" s="1771"/>
      <c r="AI168" s="1771"/>
      <c r="AJ168" s="1771"/>
      <c r="AK168" s="1771"/>
      <c r="AL168" s="1771"/>
      <c r="AM168" s="1771"/>
      <c r="AN168" s="1771"/>
      <c r="AO168" s="1771"/>
      <c r="AP168" s="1771"/>
      <c r="AQ168" s="1771"/>
      <c r="AR168" s="1979">
        <v>0</v>
      </c>
    </row>
    <row s="51018" customFormat="1" customHeight="1" ht="17.25" hidden="1">
      <c r="A169" s="833"/>
      <c r="C169" s="721"/>
      <c r="D169" s="2647">
        <v>3</v>
      </c>
      <c r="E169" s="2655" t="s">
        <v>398</v>
      </c>
      <c r="F169" s="2657" t="s">
        <v>19</v>
      </c>
      <c r="G169" s="2655"/>
      <c r="H169" s="2660"/>
      <c r="I169" s="2662"/>
      <c r="J169" s="2664"/>
      <c r="K169" s="2649"/>
      <c r="L169" s="2649"/>
      <c r="M169" s="2649"/>
      <c r="N169" s="2651"/>
      <c r="O169" s="2649"/>
      <c r="P169" s="2649"/>
      <c r="Q169" s="2649"/>
      <c r="R169" s="2654"/>
      <c r="S169" s="2649"/>
      <c r="T169" s="2455"/>
      <c r="U169" s="2455"/>
      <c r="V169" s="2457"/>
      <c r="W169" s="1808"/>
      <c r="X169" s="1779"/>
      <c r="Y169" s="1779"/>
      <c r="Z169" s="1779"/>
      <c r="AA169" s="1779"/>
      <c r="AB169" s="1779"/>
      <c r="AC169" s="1779" t="s">
        <v>399</v>
      </c>
      <c r="AD169" s="1779" t="s">
        <v>400</v>
      </c>
      <c r="AE169" s="1779" t="s">
        <v>401</v>
      </c>
      <c r="AF169" s="1779" t="s">
        <v>402</v>
      </c>
      <c r="AG169" s="1779"/>
      <c r="AH169" s="1779" t="str">
        <f>IF($E$169=0,"",$E$169)</f>
        <v>Тариф на подключение (технологическое присоединение) к централизованной системе горячего водоснабжения</v>
      </c>
      <c r="AI169" s="1779" t="str">
        <f>IF($G$169=0,"",$G$169)</f>
        <v/>
      </c>
      <c r="AJ169" s="1779" t="str">
        <f>IF($J$169=0,"",$J$169)</f>
        <v/>
      </c>
      <c r="AK169" s="1779" t="str">
        <f>IF($K$169="нет","без дифференциации",IF($N$169=0,"",$N$169))</f>
        <v/>
      </c>
      <c r="AL169" s="1779" t="str">
        <f>IF($O$169="нет","без дифференциации",IF($R$169=0,"",$R$169))</f>
        <v/>
      </c>
      <c r="AM169" s="1779" t="str">
        <f>IF($S$169="нет","без дифференциации",IF($V$169=0,"",$V$169))</f>
        <v/>
      </c>
      <c r="AN169" s="2284">
        <f>$I$169</f>
        <v>0</v>
      </c>
      <c r="AO169" s="1779" t="str">
        <f>$I$169&amp;"."&amp;$M$169</f>
        <v>.</v>
      </c>
      <c r="AP169" s="1778" t="str">
        <f>$I$169&amp;"."&amp;$M$169&amp;"."&amp;$Q$169</f>
        <v>..</v>
      </c>
      <c r="AQ169" s="1778" t="str">
        <f>$I$169&amp;"."&amp;$M$169&amp;"."&amp;$Q$169&amp;"."&amp;$U$169</f>
        <v>...</v>
      </c>
      <c r="AR169" s="1979">
        <v>0</v>
      </c>
    </row>
    <row s="51018" customFormat="1" customHeight="1" ht="17.25" hidden="1">
      <c r="A170" s="833"/>
      <c r="C170" s="832"/>
      <c r="D170" s="2647"/>
      <c r="E170" s="2655"/>
      <c r="F170" s="2658"/>
      <c r="G170" s="2655"/>
      <c r="H170" s="2661"/>
      <c r="I170" s="2663"/>
      <c r="J170" s="2665"/>
      <c r="K170" s="2650"/>
      <c r="L170" s="2650"/>
      <c r="M170" s="2650"/>
      <c r="N170" s="2652"/>
      <c r="O170" s="2650"/>
      <c r="P170" s="2650"/>
      <c r="Q170" s="2650"/>
      <c r="R170" s="2653"/>
      <c r="S170" s="2650"/>
      <c r="T170" s="2460"/>
      <c r="U170" s="2460"/>
      <c r="V170" s="2460"/>
      <c r="W170" s="2461"/>
      <c r="X170" s="1778"/>
      <c r="Y170" s="1778"/>
      <c r="Z170" s="1778"/>
      <c r="AA170" s="1778"/>
      <c r="AB170" s="1778"/>
      <c r="AC170" s="1778"/>
      <c r="AD170" s="1778"/>
      <c r="AE170" s="1778"/>
      <c r="AF170" s="1778"/>
      <c r="AG170" s="1778"/>
      <c r="AH170" s="1778"/>
      <c r="AI170" s="1778"/>
      <c r="AJ170" s="1778"/>
      <c r="AK170" s="1778"/>
      <c r="AL170" s="1778"/>
      <c r="AM170" s="1778"/>
      <c r="AN170" s="1778"/>
      <c r="AO170" s="1778"/>
      <c r="AP170" s="1778"/>
      <c r="AQ170" s="1778"/>
      <c r="AR170" s="1979">
        <v>0</v>
      </c>
    </row>
    <row s="51018" customFormat="1" customHeight="1" ht="17.25" hidden="1">
      <c r="A171" s="833"/>
      <c r="C171" s="832"/>
      <c r="D171" s="2648"/>
      <c r="E171" s="2656"/>
      <c r="F171" s="2658"/>
      <c r="G171" s="2656"/>
      <c r="H171" s="2661"/>
      <c r="I171" s="2663"/>
      <c r="J171" s="2666"/>
      <c r="K171" s="2650"/>
      <c r="L171" s="2650"/>
      <c r="M171" s="2650"/>
      <c r="N171" s="2653"/>
      <c r="O171" s="2650"/>
      <c r="P171" s="2456"/>
      <c r="Q171" s="2460"/>
      <c r="R171" s="2460"/>
      <c r="S171" s="841"/>
      <c r="T171" s="841"/>
      <c r="U171" s="841"/>
      <c r="V171" s="841"/>
      <c r="W171" s="2461"/>
      <c r="X171" s="1778"/>
      <c r="Y171" s="1778"/>
      <c r="Z171" s="1778"/>
      <c r="AA171" s="1778"/>
      <c r="AB171" s="1778"/>
      <c r="AC171" s="1778"/>
      <c r="AD171" s="1778"/>
      <c r="AE171" s="1778"/>
      <c r="AF171" s="1778"/>
      <c r="AG171" s="1778"/>
      <c r="AH171" s="1778"/>
      <c r="AI171" s="1778"/>
      <c r="AJ171" s="1778"/>
      <c r="AK171" s="1778"/>
      <c r="AL171" s="1778"/>
      <c r="AM171" s="1778"/>
      <c r="AN171" s="1778"/>
      <c r="AO171" s="1778"/>
      <c r="AP171" s="1778"/>
      <c r="AQ171" s="1778"/>
      <c r="AR171" s="1979">
        <v>0</v>
      </c>
    </row>
    <row s="51018" customFormat="1" customHeight="1" ht="17.25" hidden="1">
      <c r="A172" s="833"/>
      <c r="C172" s="832"/>
      <c r="D172" s="2648"/>
      <c r="E172" s="2656"/>
      <c r="F172" s="2658"/>
      <c r="G172" s="2656"/>
      <c r="H172" s="2661"/>
      <c r="I172" s="2663"/>
      <c r="J172" s="2666"/>
      <c r="K172" s="2650"/>
      <c r="L172" s="2460"/>
      <c r="M172" s="2460"/>
      <c r="N172" s="2460"/>
      <c r="O172" s="2460"/>
      <c r="P172" s="2460"/>
      <c r="Q172" s="2460"/>
      <c r="R172" s="2460"/>
      <c r="S172" s="841"/>
      <c r="T172" s="841"/>
      <c r="U172" s="841"/>
      <c r="V172" s="841"/>
      <c r="W172" s="2461"/>
      <c r="X172" s="1778"/>
      <c r="Y172" s="1778"/>
      <c r="Z172" s="1778"/>
      <c r="AA172" s="1778"/>
      <c r="AB172" s="1778"/>
      <c r="AC172" s="1778"/>
      <c r="AD172" s="1778"/>
      <c r="AE172" s="1778"/>
      <c r="AF172" s="1778"/>
      <c r="AG172" s="1778"/>
      <c r="AH172" s="1778"/>
      <c r="AI172" s="1778"/>
      <c r="AJ172" s="1778"/>
      <c r="AK172" s="1778"/>
      <c r="AL172" s="1778"/>
      <c r="AM172" s="1778"/>
      <c r="AN172" s="1778"/>
      <c r="AO172" s="1778"/>
      <c r="AP172" s="1778"/>
      <c r="AQ172" s="1778"/>
      <c r="AR172" s="1979">
        <v>0</v>
      </c>
    </row>
    <row s="51018" customFormat="1" customHeight="1" ht="17.25" hidden="1">
      <c r="A173" s="833"/>
      <c r="C173" s="832"/>
      <c r="D173" s="2648"/>
      <c r="E173" s="2656"/>
      <c r="F173" s="2659"/>
      <c r="G173" s="2656"/>
      <c r="H173" s="1811"/>
      <c r="I173" s="2458"/>
      <c r="J173" s="2458"/>
      <c r="K173" s="2458"/>
      <c r="L173" s="2458"/>
      <c r="M173" s="2458"/>
      <c r="N173" s="2458"/>
      <c r="O173" s="2458"/>
      <c r="P173" s="2458"/>
      <c r="Q173" s="2458"/>
      <c r="R173" s="2458"/>
      <c r="S173" s="1813"/>
      <c r="T173" s="1813"/>
      <c r="U173" s="1813"/>
      <c r="V173" s="1813"/>
      <c r="W173" s="2459"/>
      <c r="X173" s="1778"/>
      <c r="Y173" s="1778"/>
      <c r="Z173" s="1778"/>
      <c r="AA173" s="1778"/>
      <c r="AB173" s="1778"/>
      <c r="AC173" s="1778"/>
      <c r="AD173" s="1778"/>
      <c r="AE173" s="1778"/>
      <c r="AF173" s="1778"/>
      <c r="AG173" s="1778"/>
      <c r="AH173" s="1778"/>
      <c r="AI173" s="1778"/>
      <c r="AJ173" s="1778"/>
      <c r="AK173" s="1778"/>
      <c r="AL173" s="1778"/>
      <c r="AM173" s="1778"/>
      <c r="AN173" s="1778"/>
      <c r="AO173" s="1778"/>
      <c r="AP173" s="1778"/>
      <c r="AQ173" s="1778"/>
      <c r="AR173" s="1979">
        <v>0</v>
      </c>
    </row>
    <row s="51018" customFormat="1" customHeight="1" ht="11.25" hidden="1">
      <c r="A174" s="789"/>
      <c r="B174" s="789"/>
      <c r="Y174" s="1771"/>
      <c r="Z174" s="1771"/>
      <c r="AA174" s="1771"/>
      <c r="AB174" s="1771"/>
      <c r="AC174" s="1771"/>
      <c r="AD174" s="1771"/>
      <c r="AE174" s="1771"/>
      <c r="AF174" s="1771"/>
      <c r="AG174" s="1771"/>
      <c r="AH174" s="1771"/>
      <c r="AI174" s="1771"/>
      <c r="AJ174" s="1771"/>
      <c r="AK174" s="1771"/>
      <c r="AL174" s="1771"/>
      <c r="AM174" s="1771"/>
      <c r="AN174" s="1771"/>
      <c r="AO174" s="1771"/>
      <c r="AP174" s="1771"/>
      <c r="AQ174" s="1771"/>
      <c r="AR174" s="1979">
        <v>0</v>
      </c>
    </row>
    <row s="51018" customFormat="1" customHeight="1" ht="17.25" hidden="1">
      <c r="A175" s="833"/>
      <c r="C175" s="721"/>
      <c r="D175" s="2647">
        <v>1</v>
      </c>
      <c r="E175" s="2655" t="s">
        <v>403</v>
      </c>
      <c r="F175" s="2657" t="s">
        <v>19</v>
      </c>
      <c r="G175" s="2655"/>
      <c r="H175" s="2660"/>
      <c r="I175" s="2662"/>
      <c r="J175" s="2664"/>
      <c r="K175" s="2649"/>
      <c r="L175" s="2649"/>
      <c r="M175" s="2649"/>
      <c r="N175" s="2651"/>
      <c r="O175" s="2649"/>
      <c r="P175" s="2649"/>
      <c r="Q175" s="2649"/>
      <c r="R175" s="2654"/>
      <c r="S175" s="2649"/>
      <c r="T175" s="1982"/>
      <c r="U175" s="1982"/>
      <c r="V175" s="1984"/>
      <c r="W175" s="1808"/>
      <c r="Y175" s="1779"/>
      <c r="Z175" s="1779"/>
      <c r="AA175" s="1779"/>
      <c r="AB175" s="1779"/>
      <c r="AC175" s="1779" t="s">
        <v>404</v>
      </c>
      <c r="AD175" s="1779" t="s">
        <v>405</v>
      </c>
      <c r="AE175" s="1779" t="s">
        <v>406</v>
      </c>
      <c r="AF175" s="1779" t="s">
        <v>407</v>
      </c>
      <c r="AG175" s="1779"/>
      <c r="AH175" s="1779" t="str">
        <f>IF($E$175=0,"",$E$175)</f>
        <v>Тариф на водоотведение</v>
      </c>
      <c r="AI175" s="1779" t="str">
        <f>IF($G$175=0,"",$G$175)</f>
        <v/>
      </c>
      <c r="AJ175" s="1779" t="str">
        <f>IF($J$175=0,"",$J$175)</f>
        <v/>
      </c>
      <c r="AK175" s="1779" t="str">
        <f>IF($K$175="нет","без дифференциации",IF($N$175=0,"",$N$175))</f>
        <v/>
      </c>
      <c r="AL175" s="1779" t="str">
        <f>IF($O$175="нет","без дифференциации",IF($R$175=0,"",$R$175))</f>
        <v/>
      </c>
      <c r="AM175" s="1779" t="str">
        <f>IF($S$175="нет","без дифференциации",IF($V$175=0,"",$V$175))</f>
        <v/>
      </c>
      <c r="AN175" s="1779">
        <f>$I$175</f>
        <v>0</v>
      </c>
      <c r="AO175" s="1779" t="str">
        <f>$I$175&amp;"."&amp;$M$175</f>
        <v>.</v>
      </c>
      <c r="AP175" s="1779" t="str">
        <f>$I$175&amp;"."&amp;$M$175&amp;"."&amp;$Q$175</f>
        <v>..</v>
      </c>
      <c r="AQ175" s="1779" t="str">
        <f>$I$175&amp;"."&amp;$M$175&amp;"."&amp;$Q$175&amp;"."&amp;$U$175</f>
        <v>...</v>
      </c>
      <c r="AR175" s="1979">
        <v>0</v>
      </c>
    </row>
    <row s="51018" customFormat="1" customHeight="1" ht="17.25" hidden="1">
      <c r="A176" s="833"/>
      <c r="C176" s="832"/>
      <c r="D176" s="2647"/>
      <c r="E176" s="2655"/>
      <c r="F176" s="2658"/>
      <c r="G176" s="2655"/>
      <c r="H176" s="2661"/>
      <c r="I176" s="2663"/>
      <c r="J176" s="2665"/>
      <c r="K176" s="2650"/>
      <c r="L176" s="2650"/>
      <c r="M176" s="2650"/>
      <c r="N176" s="2652"/>
      <c r="O176" s="2650"/>
      <c r="P176" s="2650"/>
      <c r="Q176" s="2650"/>
      <c r="R176" s="2653"/>
      <c r="S176" s="2650"/>
      <c r="T176" s="1809"/>
      <c r="U176" s="1809"/>
      <c r="V176" s="1809"/>
      <c r="W176" s="1810"/>
      <c r="Y176" s="1771"/>
      <c r="Z176" s="1771"/>
      <c r="AA176" s="1771"/>
      <c r="AB176" s="1771"/>
      <c r="AC176" s="1771"/>
      <c r="AD176" s="1771"/>
      <c r="AE176" s="1771"/>
      <c r="AF176" s="1771"/>
      <c r="AG176" s="1771"/>
      <c r="AH176" s="1771"/>
      <c r="AI176" s="1771"/>
      <c r="AJ176" s="1771"/>
      <c r="AK176" s="1771"/>
      <c r="AL176" s="1771"/>
      <c r="AM176" s="1771"/>
      <c r="AN176" s="1771"/>
      <c r="AO176" s="1771"/>
      <c r="AP176" s="1771"/>
      <c r="AQ176" s="1771"/>
      <c r="AR176" s="1979">
        <v>0</v>
      </c>
    </row>
    <row s="51018" customFormat="1" customHeight="1" ht="17.25" hidden="1">
      <c r="A177" s="833"/>
      <c r="C177" s="721"/>
      <c r="D177" s="2647"/>
      <c r="E177" s="2655"/>
      <c r="F177" s="2658"/>
      <c r="G177" s="2655"/>
      <c r="H177" s="2661"/>
      <c r="I177" s="2663"/>
      <c r="J177" s="2666"/>
      <c r="K177" s="2650"/>
      <c r="L177" s="2650"/>
      <c r="M177" s="2650"/>
      <c r="N177" s="2653"/>
      <c r="O177" s="2650"/>
      <c r="P177" s="1983"/>
      <c r="Q177" s="1809"/>
      <c r="R177" s="1809"/>
      <c r="S177" s="841"/>
      <c r="T177" s="841"/>
      <c r="U177" s="841"/>
      <c r="V177" s="841"/>
      <c r="W177" s="1810"/>
      <c r="Y177" s="1779"/>
      <c r="Z177" s="1779"/>
      <c r="AA177" s="1779"/>
      <c r="AB177" s="1779"/>
      <c r="AC177" s="1779"/>
      <c r="AD177" s="1779"/>
      <c r="AE177" s="1779"/>
      <c r="AF177" s="1779"/>
      <c r="AG177" s="1779"/>
      <c r="AH177" s="1779"/>
      <c r="AI177" s="1779"/>
      <c r="AJ177" s="1779"/>
      <c r="AK177" s="1779"/>
      <c r="AL177" s="1779"/>
      <c r="AM177" s="1779"/>
      <c r="AN177" s="1779"/>
      <c r="AO177" s="1779"/>
      <c r="AP177" s="1779"/>
      <c r="AQ177" s="1779"/>
      <c r="AR177" s="1979">
        <v>0</v>
      </c>
    </row>
    <row s="51018" customFormat="1" customHeight="1" ht="17.25" hidden="1">
      <c r="A178" s="833"/>
      <c r="C178" s="832"/>
      <c r="D178" s="2647"/>
      <c r="E178" s="2655"/>
      <c r="F178" s="2658"/>
      <c r="G178" s="2655"/>
      <c r="H178" s="2661"/>
      <c r="I178" s="2663"/>
      <c r="J178" s="2666"/>
      <c r="K178" s="2650"/>
      <c r="L178" s="1809"/>
      <c r="M178" s="1809"/>
      <c r="N178" s="1809"/>
      <c r="O178" s="1809"/>
      <c r="P178" s="1809"/>
      <c r="Q178" s="1809"/>
      <c r="R178" s="1809"/>
      <c r="S178" s="841"/>
      <c r="T178" s="841"/>
      <c r="U178" s="841"/>
      <c r="V178" s="841"/>
      <c r="W178" s="1810"/>
      <c r="Y178" s="1771"/>
      <c r="Z178" s="1771"/>
      <c r="AA178" s="1771"/>
      <c r="AB178" s="1771"/>
      <c r="AC178" s="1771"/>
      <c r="AD178" s="1771"/>
      <c r="AE178" s="1771"/>
      <c r="AF178" s="1771"/>
      <c r="AG178" s="1771"/>
      <c r="AH178" s="1771"/>
      <c r="AI178" s="1771"/>
      <c r="AJ178" s="1771"/>
      <c r="AK178" s="1771"/>
      <c r="AL178" s="1771"/>
      <c r="AM178" s="1771"/>
      <c r="AN178" s="1771"/>
      <c r="AO178" s="1771"/>
      <c r="AP178" s="1771"/>
      <c r="AQ178" s="1771"/>
      <c r="AR178" s="1979">
        <v>0</v>
      </c>
    </row>
    <row s="51018" customFormat="1" customHeight="1" ht="17.25" hidden="1">
      <c r="A179" s="833"/>
      <c r="C179" s="832"/>
      <c r="D179" s="2648"/>
      <c r="E179" s="2656"/>
      <c r="F179" s="2659"/>
      <c r="G179" s="2656"/>
      <c r="H179" s="1811"/>
      <c r="I179" s="1812"/>
      <c r="J179" s="1812"/>
      <c r="K179" s="1812"/>
      <c r="L179" s="1812"/>
      <c r="M179" s="1812"/>
      <c r="N179" s="1812"/>
      <c r="O179" s="1812"/>
      <c r="P179" s="1812"/>
      <c r="Q179" s="1812"/>
      <c r="R179" s="1812"/>
      <c r="S179" s="1813"/>
      <c r="T179" s="1813"/>
      <c r="U179" s="1813"/>
      <c r="V179" s="1813"/>
      <c r="W179" s="1814"/>
      <c r="Y179" s="1771"/>
      <c r="Z179" s="1771"/>
      <c r="AA179" s="1771"/>
      <c r="AB179" s="1771"/>
      <c r="AC179" s="1771"/>
      <c r="AD179" s="1771"/>
      <c r="AE179" s="1771"/>
      <c r="AF179" s="1771"/>
      <c r="AG179" s="1771"/>
      <c r="AH179" s="1771"/>
      <c r="AI179" s="1771"/>
      <c r="AJ179" s="1771"/>
      <c r="AK179" s="1771"/>
      <c r="AL179" s="1771"/>
      <c r="AM179" s="1771"/>
      <c r="AN179" s="1771"/>
      <c r="AO179" s="1771"/>
      <c r="AP179" s="1771"/>
      <c r="AQ179" s="1771"/>
      <c r="AR179" s="1979">
        <v>0</v>
      </c>
    </row>
    <row s="51018" customFormat="1" customHeight="1" ht="17.25" hidden="1">
      <c r="A180" s="833"/>
      <c r="C180" s="721"/>
      <c r="D180" s="2647">
        <v>2</v>
      </c>
      <c r="E180" s="2655" t="s">
        <v>408</v>
      </c>
      <c r="F180" s="2657" t="s">
        <v>19</v>
      </c>
      <c r="G180" s="2655"/>
      <c r="H180" s="2660"/>
      <c r="I180" s="2662"/>
      <c r="J180" s="2664"/>
      <c r="K180" s="2649"/>
      <c r="L180" s="2649"/>
      <c r="M180" s="2649"/>
      <c r="N180" s="2651"/>
      <c r="O180" s="2649"/>
      <c r="P180" s="2649"/>
      <c r="Q180" s="2649"/>
      <c r="R180" s="2654"/>
      <c r="S180" s="2649"/>
      <c r="T180" s="1982"/>
      <c r="U180" s="1982"/>
      <c r="V180" s="1984"/>
      <c r="W180" s="1808"/>
      <c r="X180" s="1779"/>
      <c r="Y180" s="1779"/>
      <c r="Z180" s="1779"/>
      <c r="AA180" s="1779"/>
      <c r="AB180" s="1779"/>
      <c r="AC180" s="1779" t="s">
        <v>409</v>
      </c>
      <c r="AD180" s="1779" t="s">
        <v>410</v>
      </c>
      <c r="AE180" s="1779" t="s">
        <v>411</v>
      </c>
      <c r="AF180" s="1779" t="s">
        <v>412</v>
      </c>
      <c r="AG180" s="1779"/>
      <c r="AH180" s="1779" t="str">
        <f>IF($E$180=0,"",$E$180)</f>
        <v>Тариф на транспортировку сточных вод</v>
      </c>
      <c r="AI180" s="1779" t="str">
        <f>IF($G$180=0,"",$G$180)</f>
        <v/>
      </c>
      <c r="AJ180" s="1779" t="str">
        <f>IF($J$180=0,"",$J$180)</f>
        <v/>
      </c>
      <c r="AK180" s="1779" t="str">
        <f>IF($K$180="нет","без дифференциации",IF($N$180=0,"",$N$180))</f>
        <v/>
      </c>
      <c r="AL180" s="1779" t="str">
        <f>IF($O$180="нет","без дифференциации",IF($R$180=0,"",$R$180))</f>
        <v/>
      </c>
      <c r="AM180" s="1779" t="str">
        <f>IF($S$180="нет","без дифференциации",IF($V$180=0,"",$V$180))</f>
        <v/>
      </c>
      <c r="AN180" s="2284">
        <f>$I$180</f>
        <v>0</v>
      </c>
      <c r="AO180" s="1779" t="str">
        <f>$I$180&amp;"."&amp;$M$180</f>
        <v>.</v>
      </c>
      <c r="AP180" s="1771" t="str">
        <f>$I$180&amp;"."&amp;$M$180&amp;"."&amp;$Q$180</f>
        <v>..</v>
      </c>
      <c r="AQ180" s="1771" t="str">
        <f>$I$180&amp;"."&amp;$M$180&amp;"."&amp;$Q$180&amp;"."&amp;$U$180</f>
        <v>...</v>
      </c>
      <c r="AR180" s="1979">
        <v>0</v>
      </c>
    </row>
    <row s="51018" customFormat="1" customHeight="1" ht="17.25" hidden="1">
      <c r="A181" s="833"/>
      <c r="C181" s="832"/>
      <c r="D181" s="2647"/>
      <c r="E181" s="2655"/>
      <c r="F181" s="2658"/>
      <c r="G181" s="2655"/>
      <c r="H181" s="2661"/>
      <c r="I181" s="2663"/>
      <c r="J181" s="2665"/>
      <c r="K181" s="2650"/>
      <c r="L181" s="2650"/>
      <c r="M181" s="2650"/>
      <c r="N181" s="2652"/>
      <c r="O181" s="2650"/>
      <c r="P181" s="2650"/>
      <c r="Q181" s="2650"/>
      <c r="R181" s="2653"/>
      <c r="S181" s="2650"/>
      <c r="T181" s="1809"/>
      <c r="U181" s="1809"/>
      <c r="V181" s="1809"/>
      <c r="W181" s="1810"/>
      <c r="X181" s="1771"/>
      <c r="Y181" s="1771"/>
      <c r="Z181" s="1771"/>
      <c r="AA181" s="1771"/>
      <c r="AB181" s="1771"/>
      <c r="AC181" s="1771"/>
      <c r="AD181" s="1771"/>
      <c r="AE181" s="1771"/>
      <c r="AF181" s="1771"/>
      <c r="AG181" s="1771"/>
      <c r="AH181" s="1771"/>
      <c r="AI181" s="1771"/>
      <c r="AJ181" s="1771"/>
      <c r="AK181" s="1771"/>
      <c r="AL181" s="1771"/>
      <c r="AM181" s="1771"/>
      <c r="AN181" s="1771"/>
      <c r="AO181" s="1771"/>
      <c r="AP181" s="1771"/>
      <c r="AQ181" s="1771"/>
      <c r="AR181" s="1979">
        <v>0</v>
      </c>
    </row>
    <row s="51018" customFormat="1" customHeight="1" ht="17.25" hidden="1">
      <c r="A182" s="833"/>
      <c r="C182" s="832"/>
      <c r="D182" s="2648"/>
      <c r="E182" s="2656"/>
      <c r="F182" s="2658"/>
      <c r="G182" s="2656"/>
      <c r="H182" s="2661"/>
      <c r="I182" s="2663"/>
      <c r="J182" s="2666"/>
      <c r="K182" s="2650"/>
      <c r="L182" s="2650"/>
      <c r="M182" s="2650"/>
      <c r="N182" s="2653"/>
      <c r="O182" s="2650"/>
      <c r="P182" s="1983"/>
      <c r="Q182" s="1809"/>
      <c r="R182" s="1809"/>
      <c r="S182" s="841"/>
      <c r="T182" s="841"/>
      <c r="U182" s="841"/>
      <c r="V182" s="841"/>
      <c r="W182" s="1810"/>
      <c r="X182" s="1771"/>
      <c r="Y182" s="1771"/>
      <c r="Z182" s="1771"/>
      <c r="AA182" s="1771"/>
      <c r="AB182" s="1771"/>
      <c r="AC182" s="1771"/>
      <c r="AD182" s="1771"/>
      <c r="AE182" s="1771"/>
      <c r="AF182" s="1771"/>
      <c r="AG182" s="1771"/>
      <c r="AH182" s="1771"/>
      <c r="AI182" s="1771"/>
      <c r="AJ182" s="1771"/>
      <c r="AK182" s="1771"/>
      <c r="AL182" s="1771"/>
      <c r="AM182" s="1771"/>
      <c r="AN182" s="1771"/>
      <c r="AO182" s="1771"/>
      <c r="AP182" s="1771"/>
      <c r="AQ182" s="1771"/>
      <c r="AR182" s="1979">
        <v>0</v>
      </c>
    </row>
    <row s="51018" customFormat="1" customHeight="1" ht="17.25" hidden="1">
      <c r="A183" s="833"/>
      <c r="C183" s="832"/>
      <c r="D183" s="2648"/>
      <c r="E183" s="2656"/>
      <c r="F183" s="2658"/>
      <c r="G183" s="2656"/>
      <c r="H183" s="2661"/>
      <c r="I183" s="2663"/>
      <c r="J183" s="2666"/>
      <c r="K183" s="2650"/>
      <c r="L183" s="1809"/>
      <c r="M183" s="1809"/>
      <c r="N183" s="1809"/>
      <c r="O183" s="1809"/>
      <c r="P183" s="1809"/>
      <c r="Q183" s="1809"/>
      <c r="R183" s="1809"/>
      <c r="S183" s="841"/>
      <c r="T183" s="841"/>
      <c r="U183" s="841"/>
      <c r="V183" s="841"/>
      <c r="W183" s="1810"/>
      <c r="X183" s="1771"/>
      <c r="Y183" s="1771"/>
      <c r="Z183" s="1771"/>
      <c r="AA183" s="1771"/>
      <c r="AB183" s="1771"/>
      <c r="AC183" s="1771"/>
      <c r="AD183" s="1771"/>
      <c r="AE183" s="1771"/>
      <c r="AF183" s="1771"/>
      <c r="AG183" s="1771"/>
      <c r="AH183" s="1771"/>
      <c r="AI183" s="1771"/>
      <c r="AJ183" s="1771"/>
      <c r="AK183" s="1771"/>
      <c r="AL183" s="1771"/>
      <c r="AM183" s="1771"/>
      <c r="AN183" s="1771"/>
      <c r="AO183" s="1771"/>
      <c r="AP183" s="1771"/>
      <c r="AQ183" s="1771"/>
      <c r="AR183" s="1979">
        <v>0</v>
      </c>
    </row>
    <row s="51018" customFormat="1" customHeight="1" ht="17.25" hidden="1">
      <c r="A184" s="833"/>
      <c r="C184" s="832"/>
      <c r="D184" s="2648"/>
      <c r="E184" s="2656"/>
      <c r="F184" s="2659"/>
      <c r="G184" s="2656"/>
      <c r="H184" s="1811"/>
      <c r="I184" s="1812"/>
      <c r="J184" s="1812"/>
      <c r="K184" s="1812"/>
      <c r="L184" s="1812"/>
      <c r="M184" s="1812"/>
      <c r="N184" s="1812"/>
      <c r="O184" s="1812"/>
      <c r="P184" s="1812"/>
      <c r="Q184" s="1812"/>
      <c r="R184" s="1812"/>
      <c r="S184" s="1813"/>
      <c r="T184" s="1813"/>
      <c r="U184" s="1813"/>
      <c r="V184" s="1813"/>
      <c r="W184" s="1814"/>
      <c r="X184" s="1771"/>
      <c r="Y184" s="1771"/>
      <c r="Z184" s="1771"/>
      <c r="AA184" s="1771"/>
      <c r="AB184" s="1771"/>
      <c r="AC184" s="1771"/>
      <c r="AD184" s="1771"/>
      <c r="AE184" s="1771"/>
      <c r="AF184" s="1771"/>
      <c r="AG184" s="1771"/>
      <c r="AH184" s="1771"/>
      <c r="AI184" s="1771"/>
      <c r="AJ184" s="1771"/>
      <c r="AK184" s="1771"/>
      <c r="AL184" s="1771"/>
      <c r="AM184" s="1771"/>
      <c r="AN184" s="1771"/>
      <c r="AO184" s="1771"/>
      <c r="AP184" s="1771"/>
      <c r="AQ184" s="1771"/>
      <c r="AR184" s="1979">
        <v>0</v>
      </c>
    </row>
    <row s="51018" customFormat="1" customHeight="1" ht="17.25" hidden="1">
      <c r="A185" s="833"/>
      <c r="C185" s="721"/>
      <c r="D185" s="2647">
        <v>3</v>
      </c>
      <c r="E185" s="2655" t="s">
        <v>413</v>
      </c>
      <c r="F185" s="2657" t="s">
        <v>19</v>
      </c>
      <c r="G185" s="2655"/>
      <c r="H185" s="2660"/>
      <c r="I185" s="2662"/>
      <c r="J185" s="2664"/>
      <c r="K185" s="2649"/>
      <c r="L185" s="2649"/>
      <c r="M185" s="2649"/>
      <c r="N185" s="2651"/>
      <c r="O185" s="2649"/>
      <c r="P185" s="2649"/>
      <c r="Q185" s="2649"/>
      <c r="R185" s="2654"/>
      <c r="S185" s="2649"/>
      <c r="T185" s="2455"/>
      <c r="U185" s="2455"/>
      <c r="V185" s="2457"/>
      <c r="W185" s="1808"/>
      <c r="X185" s="1779"/>
      <c r="Y185" s="1779"/>
      <c r="Z185" s="1779"/>
      <c r="AA185" s="1779"/>
      <c r="AB185" s="1779"/>
      <c r="AC185" s="1779" t="s">
        <v>414</v>
      </c>
      <c r="AD185" s="1779" t="s">
        <v>415</v>
      </c>
      <c r="AE185" s="1779" t="s">
        <v>416</v>
      </c>
      <c r="AF185" s="1779" t="s">
        <v>417</v>
      </c>
      <c r="AG185" s="1779"/>
      <c r="AH185" s="1779" t="str">
        <f>IF($E$185=0,"",$E$185)</f>
        <v>Тариф на подключение (технологическое присоединение) к централизованной системе водоотведения</v>
      </c>
      <c r="AI185" s="1779" t="str">
        <f>IF($G$185=0,"",$G$185)</f>
        <v/>
      </c>
      <c r="AJ185" s="1779" t="str">
        <f>IF($J$185=0,"",$J$185)</f>
        <v/>
      </c>
      <c r="AK185" s="1779" t="str">
        <f>IF($K$185="нет","без дифференциации",IF($N$185=0,"",$N$185))</f>
        <v/>
      </c>
      <c r="AL185" s="1779" t="str">
        <f>IF($O$185="нет","без дифференциации",IF($R$185=0,"",$R$185))</f>
        <v/>
      </c>
      <c r="AM185" s="1779" t="str">
        <f>IF($S$185="нет","без дифференциации",IF($V$185=0,"",$V$185))</f>
        <v/>
      </c>
      <c r="AN185" s="2284">
        <f>$I$185</f>
        <v>0</v>
      </c>
      <c r="AO185" s="1779" t="str">
        <f>$I$185&amp;"."&amp;$M$185</f>
        <v>.</v>
      </c>
      <c r="AP185" s="1778" t="str">
        <f>$I$185&amp;"."&amp;$M$185&amp;"."&amp;$Q$185</f>
        <v>..</v>
      </c>
      <c r="AQ185" s="1778" t="str">
        <f>$I$185&amp;"."&amp;$M$185&amp;"."&amp;$Q$185&amp;"."&amp;$U$185</f>
        <v>...</v>
      </c>
      <c r="AR185" s="1979">
        <v>0</v>
      </c>
    </row>
    <row s="51018" customFormat="1" customHeight="1" ht="17.25" hidden="1">
      <c r="A186" s="833"/>
      <c r="C186" s="832"/>
      <c r="D186" s="2647"/>
      <c r="E186" s="2655"/>
      <c r="F186" s="2658"/>
      <c r="G186" s="2655"/>
      <c r="H186" s="2661"/>
      <c r="I186" s="2663"/>
      <c r="J186" s="2665"/>
      <c r="K186" s="2650"/>
      <c r="L186" s="2650"/>
      <c r="M186" s="2650"/>
      <c r="N186" s="2652"/>
      <c r="O186" s="2650"/>
      <c r="P186" s="2650"/>
      <c r="Q186" s="2650"/>
      <c r="R186" s="2653"/>
      <c r="S186" s="2650"/>
      <c r="T186" s="2460"/>
      <c r="U186" s="2460"/>
      <c r="V186" s="2460"/>
      <c r="W186" s="2461"/>
      <c r="X186" s="1778"/>
      <c r="Y186" s="1778"/>
      <c r="Z186" s="1778"/>
      <c r="AA186" s="1778"/>
      <c r="AB186" s="1778"/>
      <c r="AC186" s="1778"/>
      <c r="AD186" s="1778"/>
      <c r="AE186" s="1778"/>
      <c r="AF186" s="1778"/>
      <c r="AG186" s="1778"/>
      <c r="AH186" s="1778"/>
      <c r="AI186" s="1778"/>
      <c r="AJ186" s="1778"/>
      <c r="AK186" s="1778"/>
      <c r="AL186" s="1778"/>
      <c r="AM186" s="1778"/>
      <c r="AN186" s="1778"/>
      <c r="AO186" s="1778"/>
      <c r="AP186" s="1778"/>
      <c r="AQ186" s="1778"/>
      <c r="AR186" s="1979">
        <v>0</v>
      </c>
    </row>
    <row s="51018" customFormat="1" customHeight="1" ht="17.25" hidden="1">
      <c r="A187" s="833"/>
      <c r="C187" s="832"/>
      <c r="D187" s="2648"/>
      <c r="E187" s="2656"/>
      <c r="F187" s="2658"/>
      <c r="G187" s="2656"/>
      <c r="H187" s="2661"/>
      <c r="I187" s="2663"/>
      <c r="J187" s="2666"/>
      <c r="K187" s="2650"/>
      <c r="L187" s="2650"/>
      <c r="M187" s="2650"/>
      <c r="N187" s="2653"/>
      <c r="O187" s="2650"/>
      <c r="P187" s="2456"/>
      <c r="Q187" s="2460"/>
      <c r="R187" s="2460"/>
      <c r="S187" s="841"/>
      <c r="T187" s="841"/>
      <c r="U187" s="841"/>
      <c r="V187" s="841"/>
      <c r="W187" s="2461"/>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979">
        <v>0</v>
      </c>
    </row>
    <row s="51018" customFormat="1" customHeight="1" ht="17.25" hidden="1">
      <c r="A188" s="833"/>
      <c r="C188" s="832"/>
      <c r="D188" s="2648"/>
      <c r="E188" s="2656"/>
      <c r="F188" s="2658"/>
      <c r="G188" s="2656"/>
      <c r="H188" s="2661"/>
      <c r="I188" s="2663"/>
      <c r="J188" s="2666"/>
      <c r="K188" s="2650"/>
      <c r="L188" s="2460"/>
      <c r="M188" s="2460"/>
      <c r="N188" s="2460"/>
      <c r="O188" s="2460"/>
      <c r="P188" s="2460"/>
      <c r="Q188" s="2460"/>
      <c r="R188" s="2460"/>
      <c r="S188" s="841"/>
      <c r="T188" s="841"/>
      <c r="U188" s="841"/>
      <c r="V188" s="841"/>
      <c r="W188" s="2461"/>
      <c r="X188" s="1778"/>
      <c r="Y188" s="1778"/>
      <c r="Z188" s="1778"/>
      <c r="AA188" s="1778"/>
      <c r="AB188" s="1778"/>
      <c r="AC188" s="1778"/>
      <c r="AD188" s="1778"/>
      <c r="AE188" s="1778"/>
      <c r="AF188" s="1778"/>
      <c r="AG188" s="1778"/>
      <c r="AH188" s="1778"/>
      <c r="AI188" s="1778"/>
      <c r="AJ188" s="1778"/>
      <c r="AK188" s="1778"/>
      <c r="AL188" s="1778"/>
      <c r="AM188" s="1778"/>
      <c r="AN188" s="1778"/>
      <c r="AO188" s="1778"/>
      <c r="AP188" s="1778"/>
      <c r="AQ188" s="1778"/>
      <c r="AR188" s="1979">
        <v>0</v>
      </c>
    </row>
    <row s="51018" customFormat="1" customHeight="1" ht="17.25" hidden="1">
      <c r="A189" s="833"/>
      <c r="C189" s="832"/>
      <c r="D189" s="2648"/>
      <c r="E189" s="2656"/>
      <c r="F189" s="2659"/>
      <c r="G189" s="2656"/>
      <c r="H189" s="1811"/>
      <c r="I189" s="2458"/>
      <c r="J189" s="2458"/>
      <c r="K189" s="2458"/>
      <c r="L189" s="2458"/>
      <c r="M189" s="2458"/>
      <c r="N189" s="2458"/>
      <c r="O189" s="2458"/>
      <c r="P189" s="2458"/>
      <c r="Q189" s="2458"/>
      <c r="R189" s="2458"/>
      <c r="S189" s="1813"/>
      <c r="T189" s="1813"/>
      <c r="U189" s="1813"/>
      <c r="V189" s="1813"/>
      <c r="W189" s="2459"/>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979">
        <v>0</v>
      </c>
    </row>
    <row customHeight="1" ht="11.549999999999999">
      <c r="AR190" s="616">
        <v>11</v>
      </c>
    </row>
    <row customHeight="1" ht="11.549999999999999">
      <c r="AR191" s="616">
        <v>11</v>
      </c>
    </row>
    <row customHeight="1" ht="11.549999999999999">
      <c r="AR192" s="616">
        <v>11</v>
      </c>
    </row>
    <row customHeight="1" ht="11.549999999999999">
      <c r="E193" s="1862"/>
      <c r="AR193" s="616">
        <v>11</v>
      </c>
    </row>
    <row customHeight="1" ht="11.549999999999999">
      <c r="E194" s="1862"/>
      <c r="AR194" s="616">
        <v>11</v>
      </c>
    </row>
    <row customHeight="1" ht="11.549999999999999">
      <c r="E195" s="1862"/>
      <c r="AR195" s="616">
        <v>11</v>
      </c>
    </row>
    <row customHeight="1" ht="11.549999999999999">
      <c r="E196" s="1862"/>
      <c r="AR196" s="616">
        <v>11</v>
      </c>
    </row>
    <row customHeight="1" ht="11.549999999999999">
      <c r="E197" s="1862"/>
      <c r="AR197" s="616">
        <v>11</v>
      </c>
    </row>
    <row customHeight="1" ht="11.549999999999999">
      <c r="E198" s="1862"/>
      <c r="AR198" s="616">
        <v>11</v>
      </c>
    </row>
    <row customHeight="1" ht="11.549999999999999">
      <c r="E199" s="1862"/>
      <c r="AR199" s="616">
        <v>11</v>
      </c>
    </row>
    <row customHeight="1" ht="11.25" hidden="1">
      <c r="A200" s="665" t="s">
        <v>84</v>
      </c>
      <c r="B200" s="665">
        <v>0</v>
      </c>
      <c r="C200" s="616">
        <v>3</v>
      </c>
      <c r="D200" s="616">
        <v>6</v>
      </c>
      <c r="E200" s="616">
        <v>42</v>
      </c>
      <c r="F200" s="1795">
        <v>14</v>
      </c>
      <c r="G200" s="616">
        <v>42</v>
      </c>
      <c r="H200" s="616">
        <v>3</v>
      </c>
      <c r="I200" s="616">
        <v>5</v>
      </c>
      <c r="J200" s="616">
        <v>47</v>
      </c>
      <c r="K200" s="616">
        <v>3</v>
      </c>
      <c r="L200" s="616">
        <v>3</v>
      </c>
      <c r="M200" s="616">
        <v>5</v>
      </c>
      <c r="N200" s="616">
        <v>28</v>
      </c>
      <c r="O200" s="616">
        <v>3</v>
      </c>
      <c r="P200" s="616">
        <v>3</v>
      </c>
      <c r="Q200" s="616">
        <v>5</v>
      </c>
      <c r="R200" s="616">
        <v>34</v>
      </c>
      <c r="S200" s="794">
        <v>0</v>
      </c>
      <c r="T200" s="794">
        <v>0</v>
      </c>
      <c r="U200" s="794">
        <v>0</v>
      </c>
      <c r="V200" s="794">
        <v>0</v>
      </c>
      <c r="W200" s="616">
        <v>30</v>
      </c>
      <c r="X200" s="616">
        <v>3</v>
      </c>
      <c r="Y200" s="1771">
        <v>0</v>
      </c>
      <c r="Z200" s="1771">
        <v>0</v>
      </c>
      <c r="AA200" s="1771">
        <v>0</v>
      </c>
      <c r="AB200" s="1771">
        <v>0</v>
      </c>
      <c r="AC200" s="1771">
        <v>0</v>
      </c>
      <c r="AD200" s="1771">
        <v>0</v>
      </c>
      <c r="AE200" s="1771">
        <v>0</v>
      </c>
      <c r="AF200" s="1771">
        <v>0</v>
      </c>
      <c r="AG200" s="1771">
        <v>0</v>
      </c>
      <c r="AH200" s="1771">
        <v>0</v>
      </c>
      <c r="AI200" s="1771">
        <v>0</v>
      </c>
      <c r="AJ200" s="1771">
        <v>0</v>
      </c>
      <c r="AK200" s="1771">
        <v>0</v>
      </c>
      <c r="AL200" s="1771">
        <v>0</v>
      </c>
      <c r="AM200" s="1771">
        <v>0</v>
      </c>
      <c r="AN200" s="1771">
        <v>0</v>
      </c>
      <c r="AO200" s="1771">
        <v>0</v>
      </c>
      <c r="AP200" s="1771">
        <v>0</v>
      </c>
      <c r="AQ200" s="1771">
        <v>0</v>
      </c>
      <c r="AR200" s="616">
        <v>11</v>
      </c>
    </row>
  </sheetData>
  <sheetProtection formatColumns="0" formatRows="0" autoFilter="0" sort="0" insertRows="0" insertColumns="1" deleteRows="0" deleteColumns="0"/>
  <mergeCells count="537">
    <mergeCell ref="R23:R24"/>
    <mergeCell ref="S23:S24"/>
    <mergeCell ref="G23:G27"/>
    <mergeCell ref="H23:H26"/>
    <mergeCell ref="I23:I26"/>
    <mergeCell ref="J23:J26"/>
    <mergeCell ref="K23:K26"/>
    <mergeCell ref="L23:L25"/>
    <mergeCell ref="M23:M25"/>
    <mergeCell ref="N23:N25"/>
    <mergeCell ref="O23:O25"/>
    <mergeCell ref="M185:M187"/>
    <mergeCell ref="N185:N187"/>
    <mergeCell ref="O185:O187"/>
    <mergeCell ref="P185:P186"/>
    <mergeCell ref="Q185:Q186"/>
    <mergeCell ref="R185:R186"/>
    <mergeCell ref="S185:S186"/>
    <mergeCell ref="D185:D189"/>
    <mergeCell ref="E185:E189"/>
    <mergeCell ref="F185:F189"/>
    <mergeCell ref="G185:G189"/>
    <mergeCell ref="H185:H188"/>
    <mergeCell ref="I185:I188"/>
    <mergeCell ref="J185:J188"/>
    <mergeCell ref="K185:K188"/>
    <mergeCell ref="L185:L187"/>
    <mergeCell ref="N153:N155"/>
    <mergeCell ref="O153:O155"/>
    <mergeCell ref="P153:P154"/>
    <mergeCell ref="Q153:Q154"/>
    <mergeCell ref="R153:R154"/>
    <mergeCell ref="S153:S154"/>
    <mergeCell ref="D169:D173"/>
    <mergeCell ref="E169:E173"/>
    <mergeCell ref="F169:F173"/>
    <mergeCell ref="G169:G173"/>
    <mergeCell ref="H169:H172"/>
    <mergeCell ref="I169:I172"/>
    <mergeCell ref="J169:J172"/>
    <mergeCell ref="K169:K172"/>
    <mergeCell ref="L169:L171"/>
    <mergeCell ref="M169:M171"/>
    <mergeCell ref="N169:N171"/>
    <mergeCell ref="O169:O171"/>
    <mergeCell ref="P169:P170"/>
    <mergeCell ref="Q169:Q170"/>
    <mergeCell ref="R169:R170"/>
    <mergeCell ref="S169:S170"/>
    <mergeCell ref="D153:D157"/>
    <mergeCell ref="E153:E157"/>
    <mergeCell ref="F153:F157"/>
    <mergeCell ref="G153:G157"/>
    <mergeCell ref="H153:H156"/>
    <mergeCell ref="I153:I156"/>
    <mergeCell ref="J153:J156"/>
    <mergeCell ref="K153:K156"/>
    <mergeCell ref="L153:L155"/>
    <mergeCell ref="S180:S181"/>
    <mergeCell ref="D180:D184"/>
    <mergeCell ref="E180:E184"/>
    <mergeCell ref="F180:F184"/>
    <mergeCell ref="G180:G184"/>
    <mergeCell ref="H180:H183"/>
    <mergeCell ref="I180:I183"/>
    <mergeCell ref="J180:J183"/>
    <mergeCell ref="K180:K183"/>
    <mergeCell ref="L180:L182"/>
    <mergeCell ref="H175:H178"/>
    <mergeCell ref="I175:I178"/>
    <mergeCell ref="J175:J178"/>
    <mergeCell ref="K175:K178"/>
    <mergeCell ref="L175:L177"/>
    <mergeCell ref="M175:M177"/>
    <mergeCell ref="N175:N177"/>
    <mergeCell ref="M180:M182"/>
    <mergeCell ref="N180:N182"/>
    <mergeCell ref="O180:O182"/>
    <mergeCell ref="P175:P176"/>
    <mergeCell ref="Q175:Q176"/>
    <mergeCell ref="R175:R176"/>
    <mergeCell ref="P180:P181"/>
    <mergeCell ref="Q180:Q181"/>
    <mergeCell ref="R180:R181"/>
    <mergeCell ref="S175:S176"/>
    <mergeCell ref="D175:D179"/>
    <mergeCell ref="E175:E179"/>
    <mergeCell ref="F175:F179"/>
    <mergeCell ref="G175:G179"/>
    <mergeCell ref="M164:M166"/>
    <mergeCell ref="N164:N166"/>
    <mergeCell ref="O164:O166"/>
    <mergeCell ref="P164:P165"/>
    <mergeCell ref="Q164:Q165"/>
    <mergeCell ref="R164:R165"/>
    <mergeCell ref="S164:S165"/>
    <mergeCell ref="D164:D168"/>
    <mergeCell ref="E164:E168"/>
    <mergeCell ref="F164:F168"/>
    <mergeCell ref="G164:G168"/>
    <mergeCell ref="H164:H167"/>
    <mergeCell ref="I164:I167"/>
    <mergeCell ref="J164:J167"/>
    <mergeCell ref="K164:K167"/>
    <mergeCell ref="L164:L166"/>
    <mergeCell ref="O175:O177"/>
    <mergeCell ref="R13:R14"/>
    <mergeCell ref="S13:S14"/>
    <mergeCell ref="M48:M50"/>
    <mergeCell ref="N48:N50"/>
    <mergeCell ref="O48:O50"/>
    <mergeCell ref="N38:N40"/>
    <mergeCell ref="D159:D163"/>
    <mergeCell ref="E159:E163"/>
    <mergeCell ref="F159:F163"/>
    <mergeCell ref="G159:G163"/>
    <mergeCell ref="H159:H162"/>
    <mergeCell ref="I159:I162"/>
    <mergeCell ref="J159:J162"/>
    <mergeCell ref="K159:K162"/>
    <mergeCell ref="L159:L161"/>
    <mergeCell ref="P53:P54"/>
    <mergeCell ref="Q53:Q54"/>
    <mergeCell ref="R53:R54"/>
    <mergeCell ref="S53:S54"/>
    <mergeCell ref="P48:P49"/>
    <mergeCell ref="Q48:Q49"/>
    <mergeCell ref="R48:R49"/>
    <mergeCell ref="S48:S49"/>
    <mergeCell ref="S28:S29"/>
    <mergeCell ref="S18:S19"/>
    <mergeCell ref="M159:M161"/>
    <mergeCell ref="N159:N161"/>
    <mergeCell ref="O159:O161"/>
    <mergeCell ref="P159:P160"/>
    <mergeCell ref="Q159:Q160"/>
    <mergeCell ref="R159:R160"/>
    <mergeCell ref="S159:S160"/>
    <mergeCell ref="O53:O55"/>
    <mergeCell ref="E77:W77"/>
    <mergeCell ref="E69:W69"/>
    <mergeCell ref="E70:W70"/>
    <mergeCell ref="E71:W71"/>
    <mergeCell ref="E72:W72"/>
    <mergeCell ref="E73:W73"/>
    <mergeCell ref="E75:W75"/>
    <mergeCell ref="E76:W76"/>
    <mergeCell ref="K143:K14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137"/>
    <mergeCell ref="E79:E137"/>
    <mergeCell ref="D138:D142"/>
    <mergeCell ref="E138:E142"/>
    <mergeCell ref="F138:F142"/>
    <mergeCell ref="G138:G142"/>
    <mergeCell ref="F79:F137"/>
    <mergeCell ref="G79:G137"/>
    <mergeCell ref="K13:K16"/>
    <mergeCell ref="G18:G22"/>
    <mergeCell ref="K18:K21"/>
    <mergeCell ref="N28:N30"/>
    <mergeCell ref="L143:L145"/>
    <mergeCell ref="S143:S144"/>
    <mergeCell ref="N143:N145"/>
    <mergeCell ref="O143:O145"/>
    <mergeCell ref="P143:P144"/>
    <mergeCell ref="Q143:Q144"/>
    <mergeCell ref="R143:R144"/>
    <mergeCell ref="D143:D147"/>
    <mergeCell ref="E143:E147"/>
    <mergeCell ref="M143:M145"/>
    <mergeCell ref="D148:D152"/>
    <mergeCell ref="E148:E152"/>
    <mergeCell ref="F148:F152"/>
    <mergeCell ref="G148:G152"/>
    <mergeCell ref="F143:F147"/>
    <mergeCell ref="G143:G147"/>
    <mergeCell ref="H143:H146"/>
    <mergeCell ref="I143:I146"/>
    <mergeCell ref="J143:J146"/>
    <mergeCell ref="S63:S64"/>
    <mergeCell ref="E58:E62"/>
    <mergeCell ref="F58:F62"/>
    <mergeCell ref="G58:G62"/>
    <mergeCell ref="H58:H61"/>
    <mergeCell ref="I58:I61"/>
    <mergeCell ref="J58:J61"/>
    <mergeCell ref="K58:K61"/>
    <mergeCell ref="L58:L60"/>
    <mergeCell ref="D58:D62"/>
    <mergeCell ref="M153:M155"/>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N148:N150"/>
    <mergeCell ref="I148:I151"/>
    <mergeCell ref="L148:L150"/>
    <mergeCell ref="Q148:Q149"/>
    <mergeCell ref="R148:R149"/>
    <mergeCell ref="S148:S149"/>
    <mergeCell ref="P148:P149"/>
    <mergeCell ref="H148:H151"/>
    <mergeCell ref="J148:J151"/>
    <mergeCell ref="K148:K151"/>
    <mergeCell ref="M148:M150"/>
    <mergeCell ref="O148:O150"/>
    <mergeCell ref="M79:M81"/>
    <mergeCell ref="N79:N81"/>
    <mergeCell ref="S79:S80"/>
    <mergeCell ref="H79:H136"/>
    <mergeCell ref="I79:I136"/>
    <mergeCell ref="J79:J136"/>
    <mergeCell ref="K79:K136"/>
    <mergeCell ref="L79:L81"/>
    <mergeCell ref="W79:W80"/>
    <mergeCell ref="O79:O81"/>
    <mergeCell ref="P79:P80"/>
    <mergeCell ref="Q79:Q80"/>
    <mergeCell ref="R79:R80"/>
    <mergeCell ref="L82:L84"/>
    <mergeCell ref="M82:M84"/>
    <mergeCell ref="N82:N84"/>
    <mergeCell ref="O82:O84"/>
    <mergeCell ref="P82:P83"/>
    <mergeCell ref="Q82:Q83"/>
    <mergeCell ref="R82:R83"/>
    <mergeCell ref="S82:S83"/>
    <mergeCell ref="W82:W83"/>
    <mergeCell ref="L85:L87"/>
    <mergeCell ref="M85:M87"/>
    <mergeCell ref="N85:N87"/>
    <mergeCell ref="O85:O87"/>
    <mergeCell ref="P85:P86"/>
    <mergeCell ref="Q85:Q86"/>
    <mergeCell ref="R85:R86"/>
    <mergeCell ref="S85:S86"/>
    <mergeCell ref="W85:W86"/>
    <mergeCell ref="L88:L90"/>
    <mergeCell ref="M88:M90"/>
    <mergeCell ref="N88:N90"/>
    <mergeCell ref="O88:O90"/>
    <mergeCell ref="P88:P89"/>
    <mergeCell ref="Q88:Q89"/>
    <mergeCell ref="R88:R89"/>
    <mergeCell ref="S88:S89"/>
    <mergeCell ref="W88:W89"/>
    <mergeCell ref="L91:L101"/>
    <mergeCell ref="M91:M101"/>
    <mergeCell ref="N91:N101"/>
    <mergeCell ref="O91:O101"/>
    <mergeCell ref="P91:P92"/>
    <mergeCell ref="Q91:Q92"/>
    <mergeCell ref="R91:R92"/>
    <mergeCell ref="S91:S92"/>
    <mergeCell ref="W91:W92"/>
    <mergeCell ref="P93:P94"/>
    <mergeCell ref="Q93:Q94"/>
    <mergeCell ref="R93:R94"/>
    <mergeCell ref="S93:S94"/>
    <mergeCell ref="W93:W94"/>
    <mergeCell ref="P95:P96"/>
    <mergeCell ref="Q95:Q96"/>
    <mergeCell ref="R95:R96"/>
    <mergeCell ref="S95:S96"/>
    <mergeCell ref="W95:W96"/>
    <mergeCell ref="P97:P98"/>
    <mergeCell ref="Q97:Q98"/>
    <mergeCell ref="R97:R98"/>
    <mergeCell ref="S97:S98"/>
    <mergeCell ref="W97:W98"/>
    <mergeCell ref="L102:L104"/>
    <mergeCell ref="M102:M104"/>
    <mergeCell ref="N102:N104"/>
    <mergeCell ref="O102:O104"/>
    <mergeCell ref="P102:P103"/>
    <mergeCell ref="Q102:Q103"/>
    <mergeCell ref="R102:R103"/>
    <mergeCell ref="S102:S103"/>
    <mergeCell ref="W102:W103"/>
    <mergeCell ref="L105:L107"/>
    <mergeCell ref="M105:M107"/>
    <mergeCell ref="N105:N107"/>
    <mergeCell ref="O105:O107"/>
    <mergeCell ref="P105:P106"/>
    <mergeCell ref="Q105:Q106"/>
    <mergeCell ref="R105:R106"/>
    <mergeCell ref="S105:S106"/>
    <mergeCell ref="W105:W106"/>
    <mergeCell ref="L108:L110"/>
    <mergeCell ref="M108:M110"/>
    <mergeCell ref="N108:N110"/>
    <mergeCell ref="O108:O110"/>
    <mergeCell ref="P108:P109"/>
    <mergeCell ref="Q108:Q109"/>
    <mergeCell ref="R108:R109"/>
    <mergeCell ref="S108:S109"/>
    <mergeCell ref="W108:W109"/>
    <mergeCell ref="L111:L113"/>
    <mergeCell ref="M111:M113"/>
    <mergeCell ref="N111:N113"/>
    <mergeCell ref="O111:O113"/>
    <mergeCell ref="P111:P112"/>
    <mergeCell ref="Q111:Q112"/>
    <mergeCell ref="R111:R112"/>
    <mergeCell ref="S111:S112"/>
    <mergeCell ref="W111:W112"/>
    <mergeCell ref="L114:L116"/>
    <mergeCell ref="M114:M116"/>
    <mergeCell ref="N114:N116"/>
    <mergeCell ref="O114:O116"/>
    <mergeCell ref="P114:P115"/>
    <mergeCell ref="Q114:Q115"/>
    <mergeCell ref="R114:R115"/>
    <mergeCell ref="S114:S115"/>
    <mergeCell ref="W114:W115"/>
    <mergeCell ref="L117:L119"/>
    <mergeCell ref="M117:M119"/>
    <mergeCell ref="N117:N119"/>
    <mergeCell ref="O117:O119"/>
    <mergeCell ref="P117:P118"/>
    <mergeCell ref="Q117:Q118"/>
    <mergeCell ref="R117:R118"/>
    <mergeCell ref="S117:S118"/>
    <mergeCell ref="W117:W118"/>
    <mergeCell ref="L120:L122"/>
    <mergeCell ref="M120:M122"/>
    <mergeCell ref="N120:N122"/>
    <mergeCell ref="O120:O122"/>
    <mergeCell ref="P120:P121"/>
    <mergeCell ref="Q120:Q121"/>
    <mergeCell ref="R120:R121"/>
    <mergeCell ref="S120:S121"/>
    <mergeCell ref="W120:W121"/>
    <mergeCell ref="L123:L125"/>
    <mergeCell ref="M123:M125"/>
    <mergeCell ref="N123:N125"/>
    <mergeCell ref="O123:O125"/>
    <mergeCell ref="P123:P124"/>
    <mergeCell ref="Q123:Q124"/>
    <mergeCell ref="R123:R124"/>
    <mergeCell ref="S123:S124"/>
    <mergeCell ref="W123:W124"/>
    <mergeCell ref="L126:L130"/>
    <mergeCell ref="M126:M130"/>
    <mergeCell ref="N126:N130"/>
    <mergeCell ref="O126:O130"/>
    <mergeCell ref="P126:P127"/>
    <mergeCell ref="Q126:Q127"/>
    <mergeCell ref="R126:R127"/>
    <mergeCell ref="S126:S127"/>
    <mergeCell ref="W126:W127"/>
    <mergeCell ref="L131:L135"/>
    <mergeCell ref="M131:M135"/>
    <mergeCell ref="N131:N135"/>
    <mergeCell ref="O131:O135"/>
    <mergeCell ref="P131:P132"/>
    <mergeCell ref="Q131:Q132"/>
    <mergeCell ref="R131:R132"/>
    <mergeCell ref="S131:S132"/>
    <mergeCell ref="W131:W132"/>
    <mergeCell ref="P128:P129"/>
    <mergeCell ref="Q128:Q129"/>
    <mergeCell ref="R128:R129"/>
    <mergeCell ref="S128:S129"/>
    <mergeCell ref="W128:W129"/>
    <mergeCell ref="P133:P134"/>
    <mergeCell ref="Q133:Q134"/>
    <mergeCell ref="R133:R134"/>
    <mergeCell ref="S133:S134"/>
    <mergeCell ref="W133:W134"/>
    <mergeCell ref="P99:P100"/>
    <mergeCell ref="Q99:Q100"/>
    <mergeCell ref="R99:R100"/>
    <mergeCell ref="S99:S100"/>
    <mergeCell ref="W99:W100"/>
    <mergeCell ref="M138:M140"/>
    <mergeCell ref="N138:N140"/>
    <mergeCell ref="S138:S139"/>
    <mergeCell ref="H138:H141"/>
    <mergeCell ref="I138:I141"/>
    <mergeCell ref="J138:J141"/>
    <mergeCell ref="K138:K141"/>
    <mergeCell ref="L138:L140"/>
    <mergeCell ref="W138:W139"/>
    <mergeCell ref="O138:O140"/>
    <mergeCell ref="P138:P139"/>
    <mergeCell ref="Q138:Q139"/>
    <mergeCell ref="R138:R139"/>
  </mergeCells>
  <dataValidations count="388">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V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O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type="textLength" operator="lessThanOrEqual" allowBlank="1" showInputMessage="1" showErrorMessage="1" errorTitle="Ошибка" error="Допускается ввод не более 900 символов!" sqref="W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O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type="textLength" operator="lessThanOrEqual" allowBlank="1" showInputMessage="1" showErrorMessage="1" errorTitle="Ошибка" error="Допускается ввод не более 900 символов!" sqref="W128">
      <formula1>900</formula1>
    </dataValidation>
    <dataValidation type="textLength" operator="lessThanOrEqual" allowBlank="1" showInputMessage="1" showErrorMessage="1" errorTitle="Ошибка" error="Допускается ввод не более 900 символов!" sqref="V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O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type="textLength" operator="lessThanOrEqual" allowBlank="1" showInputMessage="1" showErrorMessage="1" errorTitle="Ошибка" error="Допускается ввод не более 900 символов!" sqref="W126">
      <formula1>900</formula1>
    </dataValidation>
    <dataValidation type="textLength" operator="lessThanOrEqual" allowBlank="1" showInputMessage="1" showErrorMessage="1" errorTitle="Ошибка" error="Допускается ввод не более 900 символов!" sqref="V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O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type="textLength" operator="lessThanOrEqual" allowBlank="1" showInputMessage="1" showErrorMessage="1" errorTitle="Ошибка" error="Допускается ввод не более 900 символов!" sqref="W114">
      <formula1>900</formula1>
    </dataValidation>
    <dataValidation type="textLength" operator="lessThanOrEqual" allowBlank="1" showInputMessage="1" showErrorMessage="1" errorTitle="Ошибка" error="Допускается ввод не более 900 символов!" sqref="V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O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type="textLength" operator="lessThanOrEqual" allowBlank="1" showInputMessage="1" showErrorMessage="1" errorTitle="Ошибка" error="Допускается ввод не более 900 символов!" sqref="W111">
      <formula1>900</formula1>
    </dataValidation>
    <dataValidation type="textLength" operator="lessThanOrEqual" allowBlank="1" showInputMessage="1" showErrorMessage="1" errorTitle="Ошибка" error="Допускается ввод не более 900 символов!" sqref="V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O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V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O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type="textLength" operator="lessThanOrEqual" allowBlank="1" showInputMessage="1" showErrorMessage="1" errorTitle="Ошибка" error="Допускается ввод не более 900 символов!" sqref="W102">
      <formula1>900</formula1>
    </dataValidation>
    <dataValidation type="textLength" operator="lessThanOrEqual" allowBlank="1" showInputMessage="1" showErrorMessage="1" errorTitle="Ошибка" error="Допускается ввод не более 900 символов!" sqref="V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O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8"/>
    <dataValidation type="textLength" operator="lessThanOrEqual" allowBlank="1" showInputMessage="1" showErrorMessage="1" errorTitle="Ошибка" error="Допускается ввод не более 900 символов!" sqref="W97">
      <formula1>900</formula1>
    </dataValidation>
    <dataValidation type="textLength" operator="lessThanOrEqual" allowBlank="1" showInputMessage="1" showErrorMessage="1" errorTitle="Ошибка" error="Допускается ввод не более 900 символов!" sqref="V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O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Для выбора выполните двойной щелчок левой клавиши мыши по соответствующей ячейке." sqref="F96"/>
    <dataValidation type="textLength" operator="lessThanOrEqual" allowBlank="1" showInputMessage="1" showErrorMessage="1" errorTitle="Ошибка" error="Допускается ввод не более 900 символов!" sqref="W95">
      <formula1>900</formula1>
    </dataValidation>
    <dataValidation type="textLength" operator="lessThanOrEqual" allowBlank="1" showInputMessage="1" showErrorMessage="1" errorTitle="Ошибка" error="Допускается ввод не более 900 символов!" sqref="V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O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Для выбора выполните двойной щелчок левой клавиши мыши по соответствующей ячейке." sqref="F94"/>
    <dataValidation type="textLength" operator="lessThanOrEqual" allowBlank="1" showInputMessage="1" showErrorMessage="1" errorTitle="Ошибка" error="Допускается ввод не более 900 символов!" sqref="W93">
      <formula1>900</formula1>
    </dataValidation>
    <dataValidation type="textLength" operator="lessThanOrEqual" allowBlank="1" showInputMessage="1" showErrorMessage="1" errorTitle="Ошибка" error="Допускается ввод не более 900 символов!" sqref="V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O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Для выбора выполните двойной щелчок левой клавиши мыши по соответствующей ячейке." sqref="F92"/>
    <dataValidation type="textLength" operator="lessThanOrEqual" allowBlank="1" showInputMessage="1" showErrorMessage="1" errorTitle="Ошибка" error="Допускается ввод не более 900 символов!" sqref="W91">
      <formula1>900</formula1>
    </dataValidation>
    <dataValidation type="textLength" operator="lessThanOrEqual" allowBlank="1" showInputMessage="1" showErrorMessage="1" errorTitle="Ошибка" error="Допускается ввод не более 900 символов!" sqref="V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O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Выберите виды деятельности, выполнив двойной щелчок левой кнопки мыши по ячейке." sqref="G91"/>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Для выбора выполните двойной щелчок левой клавиши мыши по соответствующей ячейке." sqref="S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Для выбора выполните двойной щелчок левой клавиши мыши по соответствующей ячейке." sqref="F89"/>
    <dataValidation type="textLength" operator="lessThanOrEqual" allowBlank="1" showInputMessage="1" showErrorMessage="1" errorTitle="Ошибка" error="Допускается ввод не более 900 символов!" sqref="W88">
      <formula1>900</formula1>
    </dataValidation>
    <dataValidation type="textLength" operator="lessThanOrEqual" allowBlank="1" showInputMessage="1" showErrorMessage="1" errorTitle="Ошибка" error="Допускается ввод не более 900 символов!" sqref="V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O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6"/>
    <dataValidation type="textLength" operator="lessThanOrEqual" allowBlank="1" showInputMessage="1" showErrorMessage="1" errorTitle="Ошибка" error="Допускается ввод не более 900 символов!" sqref="W85">
      <formula1>900</formula1>
    </dataValidation>
    <dataValidation type="textLength" operator="lessThanOrEqual" allowBlank="1" showInputMessage="1" showErrorMessage="1" errorTitle="Ошибка" error="Допускается ввод не более 900 символов!" sqref="V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O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V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O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O14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49"/>
    <dataValidation type="textLength" operator="lessThanOrEqual" allowBlank="1" showInputMessage="1" showErrorMessage="1" errorTitle="Ошибка" error="Допускается ввод не более 900 символов!" sqref="J149">
      <formula1>900</formula1>
    </dataValidation>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143:K144 O143:O144 S53:S54 S143:S144 K53:K54 O53:O54 O185:O186 O159:O160 S159:S160 O164:O165 S164:S165 K159:K160 K164:K165 S153:S154 K180:K181 O180:O181 K175:K176 O175:O176 S180:S181 O169:O170 S175:S176 O58:O59 S58:S59 K58:K59 K63:K64 O63:O64 S63:S64 F79:F81 F136:F150 F151:F157 K153:K154 O153:O154 F159:F173 S169:S170 K169:K170 F175:F189 S185:S186 K185:K18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143:J144 R143:R144 V143:W143 J53:J54 R53:R54 V53:W53 J159:J160 R159:R160 V159:W159 J164:J165 R164:R165 V164:W164 J180:J181 R180:R181 V180:W180 J175:J176 R175:R176 V175:W175 J58:J59 R58:R59 V58:W58 J63:J64 R63:R64 V63:W63 J153:J154 R153:R154 V153:W153 J169:J170 R169:R170 V169:W169 J185:J186 R185:R186 V185:W18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143:N145 N53:N55 N159:N161 N164:N166 N180:N182 N175:N177 N58:N60 N63:N65 N153:N155 N169:N171 N185:N18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59:G173 G175:G189 G79:G81 G136:G150 G151:G157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Для выбора выполните двойной щелчок левой клавиши мыши по соответствующей ячейке." sqref="K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O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V138">
      <formula1>900</formula1>
    </dataValidation>
    <dataValidation type="textLength" operator="lessThanOrEqual" allowBlank="1" showInputMessage="1" showErrorMessage="1" errorTitle="Ошибка" error="Допускается ввод не более 900 символов!" sqref="W138">
      <formula1>900</formula1>
    </dataValidation>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AA5ED7-55CB-2B53-069B-9540886BF957}" mc:Ignorable="x14ac xr xr2 xr3">
  <sheetPr>
    <tabColor theme="2" tint="-0.1"/>
  </sheetPr>
  <dimension ref="A1:V30"/>
  <sheetViews>
    <sheetView topLeftCell="A1" showGridLines="0" zoomScale="90" workbookViewId="0">
      <selection activeCell="A1" sqref="A1"/>
    </sheetView>
  </sheetViews>
  <sheetFormatPr defaultColWidth="10.57421875" customHeight="1" defaultRowHeight="15"/>
  <cols>
    <col min="1" max="1" style="50765" width="9.140625" hidden="1" customWidth="1"/>
    <col min="2" max="2" style="50801" width="9.140625" hidden="1" customWidth="1"/>
    <col min="3" max="3" style="60600" width="4.00390625" customWidth="1"/>
    <col min="4" max="4" style="50801" width="6.00390625" customWidth="1"/>
    <col min="5" max="5" style="50801" width="47.00390625" customWidth="1"/>
    <col min="6" max="6" style="50801" width="9.00390625" customWidth="1"/>
    <col min="7" max="7" style="50801" width="25.7109375" hidden="1" customWidth="1"/>
    <col min="8" max="8" style="50801" width="34.00390625" hidden="1" customWidth="1"/>
    <col min="9" max="9" style="50801" width="25.7109375" customWidth="1"/>
    <col min="10" max="10" style="50801" width="33.00390625" customWidth="1"/>
    <col min="11" max="11" style="50881" width="50.00390625" customWidth="1"/>
    <col min="12" max="20" style="50801" width="10.00390625" customWidth="1"/>
    <col min="21" max="21" style="60601" width="10.00390625" customWidth="1"/>
    <col min="22" max="22" style="50801" width="10.57421875" hidden="1"/>
  </cols>
  <sheetData>
    <row s="50881" customFormat="1" customHeight="1" ht="22.5" hidden="1">
      <c r="C1" s="1184"/>
      <c r="G1" s="929">
        <v>4</v>
      </c>
      <c r="I1" s="929">
        <v>4</v>
      </c>
      <c r="U1" s="932"/>
      <c r="V1" s="929" t="s">
        <v>14</v>
      </c>
    </row>
    <row s="50801" customFormat="1" customHeight="1" ht="15" hidden="1">
      <c r="A2" s="874"/>
      <c r="C2" s="688"/>
      <c r="D2" s="858"/>
      <c r="E2" s="1185"/>
      <c r="F2" s="1034"/>
      <c r="G2" s="1128"/>
      <c r="H2" s="1128"/>
      <c r="I2" s="1128"/>
      <c r="J2" s="1128"/>
      <c r="U2" s="1186"/>
      <c r="V2" s="1021">
        <v>0</v>
      </c>
    </row>
    <row s="50881" customFormat="1" customHeight="1" ht="15" hidden="1">
      <c r="C3" s="1184"/>
      <c r="U3" s="932"/>
      <c r="V3" s="929">
        <v>0</v>
      </c>
    </row>
    <row customHeight="1" ht="15.75">
      <c r="C4" s="688"/>
      <c r="D4" s="1021"/>
      <c r="E4" s="1021"/>
      <c r="F4" s="1021"/>
      <c r="G4" s="1021"/>
      <c r="H4" s="1021"/>
      <c r="I4" s="1021"/>
      <c r="J4" s="1021"/>
      <c r="V4" s="1017">
        <v>15</v>
      </c>
    </row>
    <row customHeight="1" ht="66">
      <c r="C5" s="688"/>
      <c r="D5" s="2749" t="s">
        <v>1299</v>
      </c>
      <c r="E5" s="2749"/>
      <c r="F5" s="2749"/>
      <c r="G5" s="2749"/>
      <c r="H5" s="2749"/>
      <c r="I5" s="2749"/>
      <c r="J5" s="2749"/>
      <c r="V5" s="1017">
        <v>63</v>
      </c>
    </row>
    <row customHeight="1" ht="15.75">
      <c r="C6" s="688"/>
      <c r="D6" s="2688" t="str">
        <f>IF(org=0,"Не определено",org)</f>
        <v>КГУП "Примтеплоэнерго"</v>
      </c>
      <c r="E6" s="2688"/>
      <c r="F6" s="2688"/>
      <c r="G6" s="2688"/>
      <c r="H6" s="2688"/>
      <c r="I6" s="2688"/>
      <c r="J6" s="2688"/>
      <c r="K6" s="1049"/>
      <c r="V6" s="1017">
        <v>15</v>
      </c>
    </row>
    <row customHeight="1" ht="15.75">
      <c r="C7" s="688"/>
      <c r="D7" s="1264"/>
      <c r="E7" s="1021"/>
      <c r="F7" s="1021"/>
      <c r="G7" s="1049">
        <v>22</v>
      </c>
      <c r="I7" s="1049">
        <v>1</v>
      </c>
      <c r="J7" s="1264"/>
      <c r="V7" s="1017">
        <v>15</v>
      </c>
    </row>
    <row s="50801" customFormat="1" customHeight="1" ht="1.05">
      <c r="A8" s="1271"/>
      <c r="C8" s="688"/>
      <c r="D8" s="1021"/>
      <c r="E8" s="1021"/>
      <c r="F8" s="1021"/>
      <c r="G8" s="1049"/>
      <c r="H8" s="1264"/>
      <c r="I8" s="1049" t="s">
        <v>183</v>
      </c>
      <c r="J8" s="1264"/>
      <c r="K8" s="929"/>
      <c r="U8" s="1187"/>
      <c r="V8" s="1270">
        <v>1</v>
      </c>
    </row>
    <row customHeight="1" ht="15.75">
      <c r="C9" s="688"/>
      <c r="D9" s="1223"/>
      <c r="E9" s="2879" t="s">
        <v>175</v>
      </c>
      <c r="F9" s="2880"/>
      <c r="G9" s="2907" t="str">
        <f>IF(G8="","",INDEX(DIFFERENTIATION_UNMERGE_VD,MATCH(G8,DIFFERENTIATION_ID_DIFF,0)))</f>
        <v/>
      </c>
      <c r="H9" s="2908"/>
      <c r="I9" s="2907">
        <f>IF(I8="","",INDEX(DIFFERENTIATION_UNMERGE_VD,MATCH(I8,DIFFERENTIATION_ID_DIFF,0)))</f>
        <v>0</v>
      </c>
      <c r="J9" s="2908"/>
      <c r="K9" s="2687" t="s">
        <v>440</v>
      </c>
      <c r="V9" s="1017">
        <v>15</v>
      </c>
    </row>
    <row s="50801" customFormat="1" customHeight="1" ht="15.75">
      <c r="A10" s="1271"/>
      <c r="C10" s="688"/>
      <c r="D10" s="1223"/>
      <c r="E10" s="2879" t="s">
        <v>702</v>
      </c>
      <c r="F10" s="2880"/>
      <c r="G10" s="2907" t="str">
        <f>IF(G8="","",INDEX(DIFFERENTIATION_UNMERGE_AREA,MATCH(G8,DIFFERENTIATION_ID_DIFF,0)))</f>
        <v/>
      </c>
      <c r="H10" s="2908"/>
      <c r="I10" s="2907" t="str">
        <f>IF(I8="","",INDEX(DIFFERENTIATION_UNMERGE_AREA,MATCH(I8,DIFFERENTIATION_ID_DIFF,0)))</f>
        <v/>
      </c>
      <c r="J10" s="2908"/>
      <c r="K10" s="2711"/>
      <c r="U10" s="1187"/>
      <c r="V10" s="1270">
        <v>15</v>
      </c>
    </row>
    <row s="50801" customFormat="1" customHeight="1" ht="15.75">
      <c r="A11" s="1271"/>
      <c r="C11" s="688"/>
      <c r="D11" s="1223"/>
      <c r="E11" s="2879" t="s">
        <v>703</v>
      </c>
      <c r="F11" s="2880"/>
      <c r="G11" s="2907" t="str">
        <f>IF(G8="","",INDEX(DIFFERENTIATION_UNMERGE_SYSTEM,MATCH(G8,DIFFERENTIATION_ID_DIFF,0)))</f>
        <v/>
      </c>
      <c r="H11" s="2908"/>
      <c r="I11" s="2907" t="str">
        <f>IF(I8="","",INDEX(DIFFERENTIATION_UNMERGE_SYSTEM,MATCH(I8,DIFFERENTIATION_ID_DIFF,0)))</f>
        <v>без дифференциации</v>
      </c>
      <c r="J11" s="2908"/>
      <c r="K11" s="2711"/>
      <c r="U11" s="1187"/>
      <c r="V11" s="1270">
        <v>15</v>
      </c>
    </row>
    <row s="50801" customFormat="1" customHeight="1" ht="15.75">
      <c r="A12" s="1271"/>
      <c r="C12" s="688"/>
      <c r="D12" s="2881" t="s">
        <v>439</v>
      </c>
      <c r="E12" s="2882"/>
      <c r="F12" s="2882"/>
      <c r="G12" s="1399"/>
      <c r="H12" s="1399"/>
      <c r="I12" s="1399"/>
      <c r="J12" s="1399"/>
      <c r="K12" s="2711"/>
      <c r="U12" s="1187"/>
      <c r="V12" s="1270">
        <v>15</v>
      </c>
    </row>
    <row customHeight="1" ht="35.699999999999996">
      <c r="C13" s="688"/>
      <c r="D13" s="1317" t="s">
        <v>90</v>
      </c>
      <c r="E13" s="1319" t="s">
        <v>441</v>
      </c>
      <c r="F13" s="1319" t="s">
        <v>704</v>
      </c>
      <c r="G13" s="1320" t="s">
        <v>442</v>
      </c>
      <c r="H13" s="1319" t="s">
        <v>529</v>
      </c>
      <c r="I13" s="1320" t="s">
        <v>442</v>
      </c>
      <c r="J13" s="1319" t="s">
        <v>529</v>
      </c>
      <c r="K13" s="2744"/>
      <c r="V13" s="1017">
        <v>34</v>
      </c>
    </row>
    <row customHeight="1" ht="15" hidden="1">
      <c r="C14" s="688"/>
      <c r="D14" s="1105" t="s">
        <v>101</v>
      </c>
      <c r="E14" s="1105" t="s">
        <v>105</v>
      </c>
      <c r="F14" s="1105" t="s">
        <v>92</v>
      </c>
      <c r="G14" s="1171" t="str">
        <f>G1&amp;".1"</f>
        <v>4.1</v>
      </c>
      <c r="H14" s="1171"/>
      <c r="I14" s="1171" t="str">
        <f>I1&amp;".1"</f>
        <v>4.1</v>
      </c>
      <c r="J14" s="1171"/>
      <c r="K14" s="801"/>
      <c r="V14" s="1017">
        <v>0</v>
      </c>
    </row>
    <row customHeight="1" ht="22.5" hidden="1">
      <c r="A15" s="1017"/>
      <c r="C15" s="1038"/>
      <c r="D15" s="1033">
        <v>1</v>
      </c>
      <c r="E15" s="1189" t="s">
        <v>946</v>
      </c>
      <c r="F15" s="1033" t="s">
        <v>947</v>
      </c>
      <c r="G15" s="1190"/>
      <c r="H15" s="1190"/>
      <c r="I15" s="1190"/>
      <c r="J15" s="1190"/>
      <c r="K15" s="801" t="s">
        <v>948</v>
      </c>
      <c r="V15" s="1017">
        <v>0</v>
      </c>
    </row>
    <row customHeight="1" ht="22.5" hidden="1">
      <c r="A16" s="1017"/>
      <c r="C16" s="1038"/>
      <c r="D16" s="1033">
        <v>2</v>
      </c>
      <c r="E16" s="791" t="s">
        <v>949</v>
      </c>
      <c r="F16" s="1033" t="s">
        <v>950</v>
      </c>
      <c r="G16" s="1190"/>
      <c r="H16" s="1190"/>
      <c r="I16" s="1190"/>
      <c r="J16" s="1190"/>
      <c r="K16" s="801" t="s">
        <v>951</v>
      </c>
      <c r="V16" s="1017">
        <v>0</v>
      </c>
    </row>
    <row customHeight="1" ht="123.75" hidden="1">
      <c r="A17" s="1017"/>
      <c r="C17" s="1038"/>
      <c r="D17" s="1033">
        <v>3</v>
      </c>
      <c r="E17" s="791" t="s">
        <v>1300</v>
      </c>
      <c r="F17" s="1033" t="s">
        <v>445</v>
      </c>
      <c r="G17" s="1190"/>
      <c r="H17" s="1190"/>
      <c r="I17" s="1190"/>
      <c r="J17" s="1190"/>
      <c r="K17" s="801" t="s">
        <v>1301</v>
      </c>
      <c r="V17" s="1017">
        <v>0</v>
      </c>
    </row>
    <row customHeight="1" ht="48.29999999999999">
      <c r="A18" s="1017"/>
      <c r="C18" s="1038"/>
      <c r="D18" s="1033">
        <v>3</v>
      </c>
      <c r="E18" s="791" t="s">
        <v>952</v>
      </c>
      <c r="F18" s="1033" t="s">
        <v>445</v>
      </c>
      <c r="G18" s="1321" t="s">
        <v>445</v>
      </c>
      <c r="H18" s="1322" t="s">
        <v>445</v>
      </c>
      <c r="I18" s="1033" t="s">
        <v>445</v>
      </c>
      <c r="J18" s="1090" t="s">
        <v>445</v>
      </c>
      <c r="K18" s="801" t="s">
        <v>1302</v>
      </c>
      <c r="V18" s="1017">
        <v>46</v>
      </c>
    </row>
    <row customHeight="1" ht="35.699999999999996">
      <c r="A19" s="1017"/>
      <c r="C19" s="1038"/>
      <c r="D19" s="1051" t="s">
        <v>463</v>
      </c>
      <c r="E19" s="1071" t="s">
        <v>954</v>
      </c>
      <c r="F19" s="1033" t="s">
        <v>955</v>
      </c>
      <c r="G19" s="1329"/>
      <c r="H19" s="618"/>
      <c r="I19" s="1329"/>
      <c r="J19" s="1330"/>
      <c r="K19" s="1191"/>
      <c r="V19" s="1017">
        <v>34</v>
      </c>
    </row>
    <row customHeight="1" ht="35.699999999999996">
      <c r="A20" s="1017"/>
      <c r="C20" s="1038"/>
      <c r="D20" s="2402" t="s">
        <v>471</v>
      </c>
      <c r="E20" s="1071" t="s">
        <v>956</v>
      </c>
      <c r="F20" s="1033" t="s">
        <v>957</v>
      </c>
      <c r="G20" s="1329"/>
      <c r="H20" s="618"/>
      <c r="I20" s="1329"/>
      <c r="J20" s="618"/>
      <c r="K20" s="1191"/>
      <c r="V20" s="1017">
        <v>34</v>
      </c>
    </row>
    <row customHeight="1" ht="48.29999999999999">
      <c r="A21" s="1017"/>
      <c r="C21" s="1038"/>
      <c r="D21" s="2402" t="s">
        <v>473</v>
      </c>
      <c r="E21" s="1071" t="s">
        <v>958</v>
      </c>
      <c r="F21" s="1033" t="s">
        <v>709</v>
      </c>
      <c r="G21" s="1192"/>
      <c r="H21" s="618"/>
      <c r="I21" s="1192"/>
      <c r="J21" s="618"/>
      <c r="K21" s="1191"/>
      <c r="V21" s="1017">
        <v>46</v>
      </c>
    </row>
    <row customHeight="1" ht="67.5" hidden="1">
      <c r="A22" s="1017"/>
      <c r="C22" s="1038"/>
      <c r="D22" s="1033">
        <v>5</v>
      </c>
      <c r="E22" s="791" t="s">
        <v>1303</v>
      </c>
      <c r="F22" s="1033" t="s">
        <v>696</v>
      </c>
      <c r="G22" s="1193"/>
      <c r="H22" s="1194"/>
      <c r="I22" s="1193"/>
      <c r="J22" s="1194"/>
      <c r="K22" s="801" t="s">
        <v>1304</v>
      </c>
      <c r="V22" s="1017">
        <v>0</v>
      </c>
    </row>
    <row customHeight="1" ht="33.75" hidden="1">
      <c r="C23" s="963"/>
      <c r="D23" s="1033">
        <v>6</v>
      </c>
      <c r="E23" s="791" t="s">
        <v>1305</v>
      </c>
      <c r="F23" s="1033" t="s">
        <v>1306</v>
      </c>
      <c r="G23" s="1193"/>
      <c r="H23" s="1193"/>
      <c r="I23" s="1193"/>
      <c r="J23" s="1193"/>
      <c r="K23" s="801" t="s">
        <v>1307</v>
      </c>
      <c r="V23" s="1017">
        <v>0</v>
      </c>
    </row>
    <row customHeight="1" ht="15.75">
      <c r="V24" s="1017">
        <v>15</v>
      </c>
    </row>
    <row customHeight="1" ht="15.75">
      <c r="V25" s="1017">
        <v>15</v>
      </c>
    </row>
    <row customHeight="1" ht="15.75">
      <c r="V26" s="1017">
        <v>15</v>
      </c>
    </row>
    <row customHeight="1" ht="15.75">
      <c r="V27" s="1017">
        <v>15</v>
      </c>
    </row>
    <row customHeight="1" ht="15.75">
      <c r="V28" s="1017">
        <v>15</v>
      </c>
    </row>
    <row customHeight="1" ht="15.75">
      <c r="J29" s="1331"/>
      <c r="V29" s="1017">
        <v>15</v>
      </c>
    </row>
    <row customHeight="1" ht="22.5" hidden="1">
      <c r="A30" s="961" t="s">
        <v>84</v>
      </c>
      <c r="B30" s="1017">
        <v>0</v>
      </c>
      <c r="C30" s="1195">
        <v>4</v>
      </c>
      <c r="D30" s="1017">
        <v>6</v>
      </c>
      <c r="E30" s="1017">
        <v>47</v>
      </c>
      <c r="F30" s="1017">
        <v>9</v>
      </c>
      <c r="G30" s="1270">
        <v>0</v>
      </c>
      <c r="H30" s="1270">
        <v>0</v>
      </c>
      <c r="I30" s="1017">
        <v>25</v>
      </c>
      <c r="J30" s="1017">
        <v>33</v>
      </c>
      <c r="K30" s="929">
        <v>50</v>
      </c>
      <c r="L30" s="1017">
        <v>10</v>
      </c>
      <c r="M30" s="1017">
        <v>10</v>
      </c>
      <c r="N30" s="1017">
        <v>10</v>
      </c>
      <c r="O30" s="1017">
        <v>10</v>
      </c>
      <c r="P30" s="1017">
        <v>10</v>
      </c>
      <c r="Q30" s="1017">
        <v>10</v>
      </c>
      <c r="R30" s="1017">
        <v>10</v>
      </c>
      <c r="S30" s="1017">
        <v>10</v>
      </c>
      <c r="T30" s="1017">
        <v>10</v>
      </c>
      <c r="U30" s="1187">
        <v>10</v>
      </c>
      <c r="V30" s="1017">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ABD8202-76FE-E24A-CDB5-553ABD758E5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61017" width="32.57421875" customWidth="1"/>
    <col min="2" max="2" style="50942" width="11.00390625" customWidth="1"/>
    <col min="3" max="3" style="50942" width="9.140625"/>
    <col min="4" max="4" style="50942" width="26.57421875" customWidth="1"/>
    <col min="5" max="5" style="60860" width="36.8515625" customWidth="1"/>
    <col min="6" max="6" style="60860" width="23.57421875" customWidth="1"/>
    <col min="7" max="7" style="60860" width="31.421875" customWidth="1"/>
    <col min="8" max="8" style="60860" width="40.8515625" customWidth="1"/>
    <col min="9" max="9" style="60860" width="14.57421875" customWidth="1"/>
    <col min="10" max="10" style="60860" width="26.8515625" customWidth="1"/>
    <col min="11" max="11" style="60860" width="50.00390625" customWidth="1"/>
    <col min="12" max="12" style="60860" width="52.421875" customWidth="1"/>
    <col min="13" max="13" style="60860" width="10.7109375" customWidth="1"/>
    <col min="14" max="14" style="60860" width="55.140625" customWidth="1"/>
    <col min="15" max="15" style="60860" width="31.8515625" customWidth="1"/>
    <col min="16" max="16" style="60860" width="23.8515625" customWidth="1"/>
    <col min="17" max="17" style="60860" width="46.57421875" customWidth="1"/>
    <col min="18" max="18" style="60860" width="24.00390625" customWidth="1"/>
    <col min="19" max="19" style="60860" width="20.57421875" customWidth="1"/>
    <col min="20" max="20" style="60860" width="22.00390625" customWidth="1"/>
    <col min="21" max="22" style="60860" width="26.421875" customWidth="1"/>
    <col min="23" max="23" style="60860" width="8.28125" hidden="1" customWidth="1"/>
    <col min="24" max="24" style="60860" width="59.7109375" customWidth="1"/>
    <col min="25" max="25" style="60860" width="49.140625" customWidth="1"/>
    <col min="26" max="26" style="60860" width="11.140625" customWidth="1"/>
    <col min="27" max="30" style="60860" width="29.00390625" customWidth="1"/>
    <col min="31" max="31" style="60860" width="9.140625"/>
    <col min="32" max="32" style="60860" width="34.7109375" customWidth="1"/>
    <col min="33" max="33" style="60860" width="9.140625"/>
    <col min="34" max="35" style="60860" width="34.421875" customWidth="1"/>
    <col min="36" max="36" style="60860" width="9.140625"/>
    <col min="37" max="37" style="60860" width="24.57421875" customWidth="1"/>
    <col min="38" max="38" style="60860" width="9.140625"/>
    <col min="39" max="39" style="60860" width="26.140625" customWidth="1"/>
    <col min="40" max="40" style="60860" width="1.7109375" customWidth="1"/>
    <col min="41" max="41" style="60860" width="9.140625"/>
    <col min="42" max="43" style="60860" width="47.8515625" customWidth="1"/>
    <col min="44" max="44" style="60860" width="1.7109375" customWidth="1"/>
    <col min="45" max="45" style="60860" width="21.421875" customWidth="1"/>
    <col min="46" max="46" style="60860" width="1.7109375" customWidth="1"/>
    <col min="47" max="47" style="60860" width="31.28125" customWidth="1"/>
    <col min="48" max="48" style="60860" width="1.7109375" customWidth="1"/>
    <col min="49" max="50" style="60860" width="9.140625"/>
    <col min="51" max="51" style="60860" width="3.7109375" customWidth="1"/>
    <col min="52" max="52" style="60860" width="60.8515625" customWidth="1"/>
    <col min="53" max="53" style="60860" width="49.28125" customWidth="1"/>
    <col min="54" max="54" style="60860" width="35.140625" customWidth="1"/>
    <col min="55" max="55" style="60860" width="9.140625"/>
    <col min="56" max="56" style="60860" width="1.7109375" customWidth="1"/>
    <col min="57" max="57" style="61018" width="12.57421875" customWidth="1"/>
    <col min="58" max="58" style="61018" width="14.28125" customWidth="1"/>
    <col min="59" max="59" style="60860" width="30.7109375" customWidth="1"/>
    <col min="60" max="60" style="61019" width="40.7109375" customWidth="1"/>
    <col min="61" max="61" style="61019" width="15.00390625" customWidth="1"/>
    <col min="62" max="62" style="61019" width="40.7109375" customWidth="1"/>
    <col min="63" max="63" style="61019" width="2.7109375" customWidth="1"/>
    <col min="64" max="64" style="61019" width="44.7109375" customWidth="1"/>
    <col min="65" max="65" style="61019" width="2.7109375" customWidth="1"/>
    <col min="66" max="66" style="61019" width="40.7109375" customWidth="1"/>
    <col min="67" max="68" style="60860" width="9.140625"/>
    <col min="69" max="69" style="60860" width="18.140625" customWidth="1"/>
    <col min="70" max="70" style="60860" width="57.8515625" customWidth="1"/>
    <col min="71" max="71" style="60860" width="1.7109375" customWidth="1"/>
    <col min="72" max="72" style="60860" width="22.57421875" customWidth="1"/>
    <col min="73" max="73" style="60860" width="57.8515625" customWidth="1"/>
    <col min="74" max="74" style="60860" width="1.7109375" customWidth="1"/>
    <col min="75" max="75" style="60860" width="22.57421875" customWidth="1"/>
    <col min="76" max="76" style="60860" width="57.8515625" customWidth="1"/>
    <col min="77" max="77" style="60860" width="1.7109375" customWidth="1"/>
    <col min="78" max="78" style="60860" width="22.57421875" customWidth="1"/>
    <col min="79" max="79" style="60860" width="57.8515625" customWidth="1"/>
    <col min="80" max="81" style="60860" width="9.140625"/>
    <col min="82" max="82" style="60860" width="49.57421875" customWidth="1"/>
  </cols>
  <sheetData>
    <row s="60920" customFormat="1" customHeight="1" ht="11.25">
      <c r="A1" s="1579" t="s">
        <v>1308</v>
      </c>
      <c r="B1" s="1579" t="s">
        <v>1309</v>
      </c>
      <c r="C1" s="1579" t="s">
        <v>1310</v>
      </c>
      <c r="D1" s="1579" t="s">
        <v>1311</v>
      </c>
      <c r="E1" s="1579" t="s">
        <v>1312</v>
      </c>
      <c r="F1" s="1579" t="s">
        <v>1313</v>
      </c>
      <c r="G1" s="1579" t="s">
        <v>1314</v>
      </c>
      <c r="H1" s="1579" t="s">
        <v>1315</v>
      </c>
      <c r="I1" s="1579" t="s">
        <v>1316</v>
      </c>
      <c r="J1" s="1579" t="s">
        <v>1317</v>
      </c>
      <c r="K1" s="1579" t="s">
        <v>1318</v>
      </c>
      <c r="L1" s="1579" t="s">
        <v>1319</v>
      </c>
      <c r="M1" s="1579"/>
      <c r="N1" s="1579" t="s">
        <v>1320</v>
      </c>
      <c r="O1" s="1579" t="s">
        <v>1321</v>
      </c>
      <c r="P1" s="1579" t="s">
        <v>1322</v>
      </c>
      <c r="Q1" s="1579" t="s">
        <v>1323</v>
      </c>
      <c r="R1" s="1579" t="s">
        <v>1324</v>
      </c>
      <c r="S1" s="1579" t="s">
        <v>1325</v>
      </c>
      <c r="T1" s="1579" t="s">
        <v>1326</v>
      </c>
      <c r="U1" s="1579" t="s">
        <v>1327</v>
      </c>
      <c r="V1" s="1579"/>
      <c r="W1" s="1309" t="s">
        <v>1328</v>
      </c>
      <c r="X1" s="1579" t="s">
        <v>1329</v>
      </c>
      <c r="Y1" s="1579" t="s">
        <v>1330</v>
      </c>
      <c r="Z1" s="1579"/>
      <c r="AA1" s="1579" t="s">
        <v>1331</v>
      </c>
      <c r="AB1" s="1579"/>
      <c r="AC1" s="1579" t="s">
        <v>1332</v>
      </c>
      <c r="AD1" s="1579"/>
      <c r="AF1" s="1579" t="s">
        <v>1333</v>
      </c>
      <c r="AH1" s="1579" t="s">
        <v>1334</v>
      </c>
      <c r="AI1" s="1579" t="s">
        <v>1335</v>
      </c>
      <c r="AK1" s="1579" t="s">
        <v>1336</v>
      </c>
      <c r="AM1" s="1579" t="s">
        <v>1337</v>
      </c>
      <c r="AP1" s="1579" t="s">
        <v>1338</v>
      </c>
      <c r="AQ1" s="1579" t="s">
        <v>1339</v>
      </c>
      <c r="AS1" s="1579" t="s">
        <v>1340</v>
      </c>
      <c r="AU1" s="1579" t="s">
        <v>1341</v>
      </c>
      <c r="AW1" s="1579" t="s">
        <v>1342</v>
      </c>
      <c r="AX1" s="1579" t="s">
        <v>1343</v>
      </c>
      <c r="AZ1" s="1664" t="s">
        <v>1344</v>
      </c>
      <c r="BB1" s="1579" t="s">
        <v>1345</v>
      </c>
      <c r="BC1" s="1579"/>
      <c r="BE1" s="1579" t="s">
        <v>1346</v>
      </c>
      <c r="BF1" s="1579" t="s">
        <v>1347</v>
      </c>
      <c r="BH1" s="1581" t="s">
        <v>945</v>
      </c>
      <c r="BI1" s="1582"/>
      <c r="BJ1" s="1583" t="s">
        <v>1348</v>
      </c>
      <c r="BK1" s="1582"/>
      <c r="BL1" s="1584" t="s">
        <v>1044</v>
      </c>
      <c r="BM1" s="1582"/>
      <c r="BN1" s="1585" t="s">
        <v>1349</v>
      </c>
      <c r="BS1" s="1939"/>
    </row>
    <row customHeight="1" ht="11.25">
      <c r="A2" s="1586" t="s">
        <v>1350</v>
      </c>
      <c r="B2" s="1587">
        <v>2000</v>
      </c>
      <c r="C2" s="1587">
        <v>2022</v>
      </c>
      <c r="D2" s="1587" t="s">
        <v>63</v>
      </c>
      <c r="E2" s="1588" t="s">
        <v>1351</v>
      </c>
      <c r="F2" s="1588" t="s">
        <v>1352</v>
      </c>
      <c r="G2" s="1588" t="s">
        <v>1353</v>
      </c>
      <c r="H2" s="1589" t="s">
        <v>57</v>
      </c>
      <c r="I2" s="1588" t="s">
        <v>101</v>
      </c>
      <c r="J2" s="1588" t="s">
        <v>1354</v>
      </c>
      <c r="K2" s="1590" t="s">
        <v>1355</v>
      </c>
      <c r="L2" s="1591"/>
      <c r="M2" s="1590">
        <v>1</v>
      </c>
      <c r="N2" s="1674" t="s">
        <v>1356</v>
      </c>
      <c r="O2" s="1589" t="s">
        <v>1357</v>
      </c>
      <c r="P2" s="1592" t="s">
        <v>1358</v>
      </c>
      <c r="Q2" s="1593" t="s">
        <v>1359</v>
      </c>
      <c r="R2" s="655" t="s">
        <v>1360</v>
      </c>
      <c r="S2" s="655" t="s">
        <v>1361</v>
      </c>
      <c r="T2" s="1594" t="s">
        <v>1362</v>
      </c>
      <c r="U2" s="1591" t="s">
        <v>1363</v>
      </c>
      <c r="V2" s="1595">
        <v>1</v>
      </c>
      <c r="W2" s="1596"/>
      <c r="X2" s="1596" t="s">
        <v>1364</v>
      </c>
      <c r="Y2" s="1587" t="s">
        <v>1365</v>
      </c>
      <c r="Z2" s="1597"/>
      <c r="AA2" s="1587" t="s">
        <v>1366</v>
      </c>
      <c r="AB2" s="1598" t="s">
        <v>1366</v>
      </c>
      <c r="AC2" s="1587" t="s">
        <v>1367</v>
      </c>
      <c r="AD2" s="1598" t="s">
        <v>1367</v>
      </c>
      <c r="AF2" s="1589" t="s">
        <v>1363</v>
      </c>
      <c r="AH2" s="1588" t="s">
        <v>1368</v>
      </c>
      <c r="AI2" s="1588" t="s">
        <v>1368</v>
      </c>
      <c r="AK2" s="1588" t="s">
        <v>1369</v>
      </c>
      <c r="AM2" s="1588" t="s">
        <v>1370</v>
      </c>
      <c r="AP2" s="1599" t="s">
        <v>1364</v>
      </c>
      <c r="AQ2" s="1600" t="s">
        <v>1364</v>
      </c>
      <c r="AS2" s="1587" t="s">
        <v>1371</v>
      </c>
      <c r="AU2" s="1632" t="s">
        <v>1372</v>
      </c>
      <c r="AW2" s="1632" t="s">
        <v>1373</v>
      </c>
      <c r="AX2" s="1632" t="s">
        <v>1373</v>
      </c>
      <c r="AZ2" s="1632" t="s">
        <v>1374</v>
      </c>
      <c r="BB2" s="1632" t="s">
        <v>1375</v>
      </c>
      <c r="BC2" s="1632" t="s">
        <v>1376</v>
      </c>
      <c r="BE2" s="1632">
        <v>2000</v>
      </c>
      <c r="BF2" s="1632" t="s">
        <v>1377</v>
      </c>
    </row>
    <row customHeight="1" ht="11.25">
      <c r="A3" s="1586" t="s">
        <v>1378</v>
      </c>
      <c r="B3" s="1587">
        <v>2001</v>
      </c>
      <c r="C3" s="1587">
        <v>2023</v>
      </c>
      <c r="D3" s="1587" t="s">
        <v>19</v>
      </c>
      <c r="E3" s="1588" t="s">
        <v>1379</v>
      </c>
      <c r="F3" s="1588" t="s">
        <v>1380</v>
      </c>
      <c r="G3" s="1588" t="s">
        <v>1381</v>
      </c>
      <c r="H3" s="1589" t="s">
        <v>1382</v>
      </c>
      <c r="I3" s="1588" t="s">
        <v>105</v>
      </c>
      <c r="J3" s="1588" t="s">
        <v>694</v>
      </c>
      <c r="K3" s="1590" t="s">
        <v>1383</v>
      </c>
      <c r="L3" s="1591">
        <f>_xlfn.IFERROR(MATCH(K3,OFFER_METHOD,0),0)</f>
        <v>0</v>
      </c>
      <c r="M3" s="1590">
        <v>2</v>
      </c>
      <c r="N3" s="1674" t="s">
        <v>1384</v>
      </c>
      <c r="O3" s="1589" t="s">
        <v>1385</v>
      </c>
      <c r="P3" s="1592" t="s">
        <v>37</v>
      </c>
      <c r="Q3" s="1593" t="s">
        <v>1386</v>
      </c>
      <c r="R3" s="655" t="s">
        <v>1387</v>
      </c>
      <c r="S3" s="655" t="s">
        <v>1388</v>
      </c>
      <c r="T3" s="1594" t="s">
        <v>1389</v>
      </c>
      <c r="U3" s="1591" t="s">
        <v>1390</v>
      </c>
      <c r="V3" s="1595">
        <v>2</v>
      </c>
      <c r="W3" s="1596"/>
      <c r="X3" s="1596" t="s">
        <v>1391</v>
      </c>
      <c r="Y3" s="1587" t="s">
        <v>1365</v>
      </c>
      <c r="Z3" s="1597"/>
      <c r="AA3" s="1587" t="s">
        <v>1392</v>
      </c>
      <c r="AB3" s="1598" t="s">
        <v>1392</v>
      </c>
      <c r="AC3" s="1587" t="s">
        <v>1393</v>
      </c>
      <c r="AD3" s="1598" t="s">
        <v>1393</v>
      </c>
      <c r="AF3" s="1589" t="s">
        <v>1390</v>
      </c>
      <c r="AH3" s="1588" t="s">
        <v>1394</v>
      </c>
      <c r="AI3" s="1588" t="s">
        <v>1395</v>
      </c>
      <c r="AK3" s="1588" t="s">
        <v>1396</v>
      </c>
      <c r="AM3" s="1588" t="s">
        <v>1397</v>
      </c>
      <c r="AP3" s="1599" t="s">
        <v>1398</v>
      </c>
      <c r="AQ3" s="1600" t="s">
        <v>1398</v>
      </c>
      <c r="AS3" s="1587" t="s">
        <v>1399</v>
      </c>
      <c r="AU3" s="1632" t="s">
        <v>1400</v>
      </c>
      <c r="AW3" s="1632" t="s">
        <v>1401</v>
      </c>
      <c r="AX3" s="1632" t="s">
        <v>1401</v>
      </c>
      <c r="AZ3" s="1632" t="s">
        <v>1402</v>
      </c>
      <c r="BB3" s="1632" t="s">
        <v>1403</v>
      </c>
      <c r="BC3" s="1632" t="s">
        <v>1376</v>
      </c>
      <c r="BE3" s="1632">
        <v>2001</v>
      </c>
      <c r="BF3" s="1632" t="s">
        <v>1404</v>
      </c>
      <c r="BH3" s="1579" t="s">
        <v>1405</v>
      </c>
      <c r="BJ3" s="1579" t="s">
        <v>1406</v>
      </c>
      <c r="BL3" s="1579" t="s">
        <v>1407</v>
      </c>
      <c r="BN3" s="1579" t="s">
        <v>1408</v>
      </c>
      <c r="BR3" s="1579" t="s">
        <v>1409</v>
      </c>
      <c r="BS3" s="1940"/>
      <c r="BT3" s="1582"/>
      <c r="BU3" s="1579" t="s">
        <v>1410</v>
      </c>
      <c r="BV3" s="1582"/>
      <c r="BW3" s="2202"/>
      <c r="BX3" s="2204" t="s">
        <v>1411</v>
      </c>
      <c r="CA3" s="1579" t="s">
        <v>1412</v>
      </c>
    </row>
    <row customHeight="1" ht="11.25">
      <c r="A4" s="1586" t="s">
        <v>1413</v>
      </c>
      <c r="B4" s="1587">
        <v>2002</v>
      </c>
      <c r="C4" s="1587">
        <v>2024</v>
      </c>
      <c r="E4" s="1588" t="s">
        <v>1414</v>
      </c>
      <c r="F4" s="1588" t="s">
        <v>1415</v>
      </c>
      <c r="H4" s="1589" t="s">
        <v>1416</v>
      </c>
      <c r="I4" s="1588" t="s">
        <v>92</v>
      </c>
      <c r="J4" s="1588" t="s">
        <v>1417</v>
      </c>
      <c r="K4" s="1590" t="s">
        <v>1418</v>
      </c>
      <c r="L4" s="1591">
        <f>_xlfn.IFERROR(MATCH(K4,OFFER_METHOD,0),0)</f>
        <v>0</v>
      </c>
      <c r="M4" s="1590">
        <v>3</v>
      </c>
      <c r="N4" s="1674" t="s">
        <v>1419</v>
      </c>
      <c r="O4" s="1588" t="s">
        <v>1420</v>
      </c>
      <c r="Q4" s="1593" t="s">
        <v>1421</v>
      </c>
      <c r="R4" s="655" t="s">
        <v>1422</v>
      </c>
      <c r="S4" s="655" t="s">
        <v>1423</v>
      </c>
      <c r="T4" s="1594" t="s">
        <v>1424</v>
      </c>
      <c r="U4" s="1591" t="s">
        <v>1425</v>
      </c>
      <c r="V4" s="1595">
        <v>3</v>
      </c>
      <c r="W4" s="1596"/>
      <c r="X4" s="1596" t="s">
        <v>1426</v>
      </c>
      <c r="Y4" s="1587" t="s">
        <v>1365</v>
      </c>
      <c r="Z4" s="1603"/>
      <c r="AC4" s="1587" t="s">
        <v>1427</v>
      </c>
      <c r="AD4" s="1598" t="s">
        <v>1427</v>
      </c>
      <c r="AF4" s="1589" t="s">
        <v>1425</v>
      </c>
      <c r="AH4" s="1589" t="s">
        <v>1428</v>
      </c>
      <c r="AK4" s="1588" t="s">
        <v>1429</v>
      </c>
      <c r="AM4" s="1588" t="s">
        <v>1430</v>
      </c>
      <c r="AP4" s="1599" t="s">
        <v>1391</v>
      </c>
      <c r="AQ4" s="1600" t="s">
        <v>1391</v>
      </c>
      <c r="AS4" s="1587" t="s">
        <v>1431</v>
      </c>
      <c r="AU4" s="1632" t="s">
        <v>1432</v>
      </c>
      <c r="AW4" s="1632" t="s">
        <v>1433</v>
      </c>
      <c r="AX4" s="1632" t="s">
        <v>1433</v>
      </c>
      <c r="AZ4" s="1632" t="s">
        <v>1434</v>
      </c>
      <c r="BB4" s="1632" t="s">
        <v>1435</v>
      </c>
      <c r="BC4" s="1632" t="s">
        <v>1436</v>
      </c>
      <c r="BE4" s="1632">
        <v>2002</v>
      </c>
      <c r="BF4" s="1632" t="s">
        <v>1437</v>
      </c>
      <c r="BH4" s="1580" t="s">
        <v>1438</v>
      </c>
      <c r="BJ4" s="1580" t="s">
        <v>1438</v>
      </c>
      <c r="BL4" s="1580" t="s">
        <v>1438</v>
      </c>
      <c r="BN4" s="1580" t="s">
        <v>1438</v>
      </c>
      <c r="BQ4" s="1944" t="s">
        <v>1439</v>
      </c>
      <c r="BR4" s="1671" t="s">
        <v>1440</v>
      </c>
      <c r="BS4" s="786"/>
      <c r="BT4" s="1944" t="s">
        <v>1441</v>
      </c>
      <c r="BU4" s="1671" t="s">
        <v>1442</v>
      </c>
      <c r="BV4" s="1582"/>
      <c r="BW4" s="2209" t="s">
        <v>1443</v>
      </c>
      <c r="BX4" s="2203" t="s">
        <v>1444</v>
      </c>
      <c r="BZ4" s="1944" t="s">
        <v>1445</v>
      </c>
      <c r="CA4" s="1671" t="s">
        <v>1446</v>
      </c>
    </row>
    <row customHeight="1" ht="11.25">
      <c r="A5" s="1586" t="s">
        <v>1447</v>
      </c>
      <c r="B5" s="1587">
        <v>2003</v>
      </c>
      <c r="C5" s="1587">
        <v>2025</v>
      </c>
      <c r="E5" s="1588" t="s">
        <v>1448</v>
      </c>
      <c r="F5" s="1588" t="s">
        <v>1449</v>
      </c>
      <c r="H5" s="1589" t="s">
        <v>1450</v>
      </c>
      <c r="I5" s="1588" t="s">
        <v>93</v>
      </c>
      <c r="K5" s="1590" t="s">
        <v>1451</v>
      </c>
      <c r="L5" s="1591">
        <f>_xlfn.IFERROR(MATCH(K5,OFFER_METHOD,0),0)</f>
        <v>0</v>
      </c>
      <c r="M5" s="1590">
        <v>4</v>
      </c>
      <c r="N5" s="1604" t="s">
        <v>1452</v>
      </c>
      <c r="O5" s="1588" t="s">
        <v>1453</v>
      </c>
      <c r="Q5" s="1593" t="s">
        <v>1454</v>
      </c>
      <c r="R5" s="655" t="s">
        <v>633</v>
      </c>
      <c r="T5" s="1589" t="s">
        <v>1455</v>
      </c>
      <c r="U5" s="1591" t="s">
        <v>1456</v>
      </c>
      <c r="V5" s="1595">
        <v>4</v>
      </c>
      <c r="W5" s="1596"/>
      <c r="X5" s="1596" t="s">
        <v>226</v>
      </c>
      <c r="Y5" s="1587" t="s">
        <v>1457</v>
      </c>
      <c r="Z5" s="1603">
        <v>1</v>
      </c>
      <c r="AF5" s="1589" t="s">
        <v>1458</v>
      </c>
      <c r="AH5" s="1588" t="s">
        <v>1459</v>
      </c>
      <c r="AK5" s="1588" t="s">
        <v>1460</v>
      </c>
      <c r="AM5" s="1588" t="s">
        <v>1461</v>
      </c>
      <c r="AP5" s="1599" t="s">
        <v>226</v>
      </c>
      <c r="AQ5" s="1600" t="s">
        <v>226</v>
      </c>
      <c r="AU5" s="1632" t="s">
        <v>1462</v>
      </c>
      <c r="AW5" s="1632" t="s">
        <v>1463</v>
      </c>
      <c r="AX5" s="1632" t="s">
        <v>1463</v>
      </c>
      <c r="AZ5" s="1632" t="s">
        <v>1464</v>
      </c>
      <c r="BB5" s="1632" t="s">
        <v>1465</v>
      </c>
      <c r="BC5" s="1632" t="s">
        <v>1466</v>
      </c>
      <c r="BE5" s="1632">
        <v>2003</v>
      </c>
      <c r="BF5" s="1632" t="s">
        <v>1467</v>
      </c>
      <c r="BH5" s="1580" t="s">
        <v>1468</v>
      </c>
      <c r="BJ5" s="1580" t="s">
        <v>1468</v>
      </c>
      <c r="BL5" s="1580" t="s">
        <v>1468</v>
      </c>
      <c r="BN5" s="1580" t="s">
        <v>1469</v>
      </c>
      <c r="BQ5" s="1793">
        <v>4213775</v>
      </c>
      <c r="BR5" s="1580" t="s">
        <v>1364</v>
      </c>
      <c r="BS5" s="1941"/>
      <c r="BT5" s="1793">
        <v>64236871</v>
      </c>
      <c r="BU5" s="1580" t="s">
        <v>367</v>
      </c>
      <c r="BV5" s="1582"/>
      <c r="BW5" s="2207">
        <v>4213767</v>
      </c>
      <c r="BX5" s="2205" t="s">
        <v>1470</v>
      </c>
      <c r="BZ5" s="1793">
        <v>64237509</v>
      </c>
      <c r="CA5" s="1807" t="s">
        <v>1471</v>
      </c>
    </row>
    <row customHeight="1" ht="11.25">
      <c r="A6" s="1586" t="s">
        <v>1472</v>
      </c>
      <c r="B6" s="1587">
        <v>2004</v>
      </c>
      <c r="C6" s="1587">
        <v>2026</v>
      </c>
      <c r="E6" s="1588" t="s">
        <v>1473</v>
      </c>
      <c r="F6" s="1605"/>
      <c r="H6" s="1589" t="s">
        <v>1474</v>
      </c>
      <c r="I6" s="1588" t="s">
        <v>121</v>
      </c>
      <c r="J6" s="1579" t="s">
        <v>1475</v>
      </c>
      <c r="L6" s="1591">
        <f>SUM(kind_of_control_method_filter)</f>
        <v>0</v>
      </c>
      <c r="N6" s="1604" t="s">
        <v>1476</v>
      </c>
      <c r="O6" s="1588" t="s">
        <v>1477</v>
      </c>
      <c r="R6" s="655" t="s">
        <v>1359</v>
      </c>
      <c r="T6" s="1589" t="s">
        <v>1478</v>
      </c>
      <c r="U6" s="1591" t="s">
        <v>1458</v>
      </c>
      <c r="V6" s="1595">
        <v>5</v>
      </c>
      <c r="W6" s="1596"/>
      <c r="X6" s="1587" t="s">
        <v>232</v>
      </c>
      <c r="Y6" s="1587" t="s">
        <v>1479</v>
      </c>
      <c r="Z6" s="1603"/>
      <c r="AA6" s="1606"/>
      <c r="AH6" s="1588" t="s">
        <v>1480</v>
      </c>
      <c r="AK6" s="1588" t="s">
        <v>1481</v>
      </c>
      <c r="AM6" s="1588" t="s">
        <v>1482</v>
      </c>
      <c r="AP6" s="1599" t="s">
        <v>232</v>
      </c>
      <c r="AQ6" s="1600" t="s">
        <v>232</v>
      </c>
      <c r="AU6" s="1632" t="s">
        <v>1483</v>
      </c>
      <c r="AW6" s="1632" t="s">
        <v>1484</v>
      </c>
      <c r="AX6" s="1632" t="s">
        <v>1484</v>
      </c>
      <c r="BB6" s="1632" t="s">
        <v>1485</v>
      </c>
      <c r="BC6" s="1632" t="s">
        <v>1466</v>
      </c>
      <c r="BE6" s="1632">
        <v>2004</v>
      </c>
      <c r="BF6" s="1632" t="s">
        <v>1486</v>
      </c>
      <c r="BH6" s="1580" t="s">
        <v>1487</v>
      </c>
      <c r="BJ6" s="1580" t="s">
        <v>1488</v>
      </c>
      <c r="BL6" s="1580" t="s">
        <v>1488</v>
      </c>
      <c r="BN6" s="1580" t="s">
        <v>1489</v>
      </c>
      <c r="BQ6" s="1793">
        <v>4213784</v>
      </c>
      <c r="BR6" s="1807" t="s">
        <v>1398</v>
      </c>
      <c r="BS6" s="1942"/>
      <c r="BT6" s="1793">
        <v>64236872</v>
      </c>
      <c r="BU6" s="1580" t="s">
        <v>373</v>
      </c>
      <c r="BV6" s="1582"/>
      <c r="BW6" s="2207">
        <v>4213768</v>
      </c>
      <c r="BX6" s="2205" t="s">
        <v>393</v>
      </c>
      <c r="BZ6" s="1793">
        <v>64237510</v>
      </c>
      <c r="CA6" s="1580" t="s">
        <v>1490</v>
      </c>
    </row>
    <row customHeight="1" ht="11.25">
      <c r="A7" s="1586" t="s">
        <v>1491</v>
      </c>
      <c r="B7" s="1587">
        <v>2005</v>
      </c>
      <c r="E7" s="1588" t="s">
        <v>1492</v>
      </c>
      <c r="F7" s="1605"/>
      <c r="H7" s="1589" t="s">
        <v>1493</v>
      </c>
      <c r="I7" s="1588" t="s">
        <v>94</v>
      </c>
      <c r="J7" s="1588" t="s">
        <v>1494</v>
      </c>
      <c r="N7" s="1608" t="s">
        <v>1495</v>
      </c>
      <c r="O7" s="1588" t="s">
        <v>1496</v>
      </c>
      <c r="U7" s="1591" t="s">
        <v>19</v>
      </c>
      <c r="V7" s="882" t="s">
        <v>94</v>
      </c>
      <c r="W7" s="1596"/>
      <c r="X7" s="1587" t="s">
        <v>238</v>
      </c>
      <c r="Y7" s="1587" t="s">
        <v>1457</v>
      </c>
      <c r="Z7" s="1603"/>
      <c r="AA7" s="1606"/>
      <c r="AH7" s="1588" t="s">
        <v>1497</v>
      </c>
      <c r="AK7" s="1588" t="s">
        <v>1498</v>
      </c>
      <c r="AM7" s="1588" t="s">
        <v>1499</v>
      </c>
      <c r="AP7" s="1599" t="s">
        <v>238</v>
      </c>
      <c r="AQ7" s="1600" t="s">
        <v>238</v>
      </c>
      <c r="AU7" s="1632" t="s">
        <v>1500</v>
      </c>
      <c r="AW7" s="1632" t="s">
        <v>1501</v>
      </c>
      <c r="AX7" s="1632" t="s">
        <v>1501</v>
      </c>
      <c r="AZ7" s="1579" t="s">
        <v>1502</v>
      </c>
      <c r="BB7" s="1632" t="s">
        <v>1503</v>
      </c>
      <c r="BC7" s="1632" t="s">
        <v>1466</v>
      </c>
      <c r="BE7" s="1632">
        <v>2005</v>
      </c>
      <c r="BF7" s="1632" t="s">
        <v>1504</v>
      </c>
      <c r="BH7" s="1580" t="s">
        <v>1505</v>
      </c>
      <c r="BJ7" s="1580" t="s">
        <v>1487</v>
      </c>
      <c r="BL7" s="1580" t="s">
        <v>1487</v>
      </c>
      <c r="BN7" s="1580" t="s">
        <v>1506</v>
      </c>
      <c r="BQ7" s="1793">
        <v>4213781</v>
      </c>
      <c r="BR7" s="1580" t="s">
        <v>1391</v>
      </c>
      <c r="BS7" s="1941"/>
      <c r="BT7" s="1793">
        <v>64236873</v>
      </c>
      <c r="BU7" s="1580" t="s">
        <v>378</v>
      </c>
      <c r="BV7" s="1582"/>
      <c r="BW7" s="2207">
        <v>4213769</v>
      </c>
      <c r="BX7" s="2205" t="s">
        <v>1507</v>
      </c>
      <c r="BZ7" s="1793">
        <v>64237511</v>
      </c>
      <c r="CA7" s="1580" t="s">
        <v>408</v>
      </c>
    </row>
    <row customHeight="1" ht="11.25">
      <c r="A8" s="1586" t="s">
        <v>1508</v>
      </c>
      <c r="B8" s="1587">
        <v>2006</v>
      </c>
      <c r="E8" s="1588" t="s">
        <v>1509</v>
      </c>
      <c r="F8" s="1605"/>
      <c r="H8" s="1589" t="s">
        <v>1510</v>
      </c>
      <c r="I8" s="1588" t="s">
        <v>95</v>
      </c>
      <c r="J8" s="1588" t="s">
        <v>1511</v>
      </c>
      <c r="N8" s="1675" t="s">
        <v>1512</v>
      </c>
      <c r="O8" s="1588" t="s">
        <v>1513</v>
      </c>
      <c r="V8" s="882" t="s">
        <v>95</v>
      </c>
      <c r="W8" s="1596"/>
      <c r="X8" s="1587" t="s">
        <v>244</v>
      </c>
      <c r="Y8" s="1587" t="s">
        <v>1457</v>
      </c>
      <c r="Z8" s="1603"/>
      <c r="AA8" s="1606"/>
      <c r="AK8" s="1588" t="s">
        <v>1514</v>
      </c>
      <c r="AP8" s="1599" t="s">
        <v>244</v>
      </c>
      <c r="AQ8" s="1600" t="s">
        <v>244</v>
      </c>
      <c r="AU8" s="1632" t="s">
        <v>1515</v>
      </c>
      <c r="AW8" s="1632" t="s">
        <v>1516</v>
      </c>
      <c r="AX8" s="1632" t="s">
        <v>1516</v>
      </c>
      <c r="AZ8" s="1632" t="s">
        <v>1517</v>
      </c>
      <c r="BB8" s="1632" t="s">
        <v>1518</v>
      </c>
      <c r="BC8" s="1632" t="s">
        <v>1466</v>
      </c>
      <c r="BE8" s="1632">
        <v>2006</v>
      </c>
      <c r="BF8" s="1632" t="s">
        <v>1519</v>
      </c>
      <c r="BH8" s="1580" t="s">
        <v>1520</v>
      </c>
      <c r="BJ8" s="1580" t="s">
        <v>1521</v>
      </c>
      <c r="BL8" s="1580" t="s">
        <v>1521</v>
      </c>
      <c r="BN8" s="1580" t="s">
        <v>1522</v>
      </c>
      <c r="BQ8" s="1793">
        <v>4213776</v>
      </c>
      <c r="BR8" s="1580" t="s">
        <v>226</v>
      </c>
      <c r="BS8" s="1941"/>
      <c r="BT8" s="1793">
        <v>64236874</v>
      </c>
      <c r="BU8" s="1807" t="s">
        <v>1523</v>
      </c>
      <c r="BV8" s="1582"/>
      <c r="BW8" s="2207">
        <v>4213770</v>
      </c>
      <c r="BX8" s="2208" t="s">
        <v>1524</v>
      </c>
      <c r="BZ8" s="1793">
        <v>64237512</v>
      </c>
      <c r="CA8" s="1580" t="s">
        <v>403</v>
      </c>
    </row>
    <row customHeight="1" ht="11.25">
      <c r="A9" s="1586" t="s">
        <v>1525</v>
      </c>
      <c r="B9" s="1587">
        <v>2007</v>
      </c>
      <c r="E9" s="1588" t="s">
        <v>1526</v>
      </c>
      <c r="F9" s="1605"/>
      <c r="G9" s="1579" t="s">
        <v>1527</v>
      </c>
      <c r="H9" s="1579" t="s">
        <v>1528</v>
      </c>
      <c r="I9" s="1588" t="s">
        <v>135</v>
      </c>
      <c r="O9" s="1588" t="s">
        <v>1529</v>
      </c>
      <c r="V9" s="882" t="s">
        <v>135</v>
      </c>
      <c r="W9" s="1596"/>
      <c r="X9" s="1587" t="s">
        <v>250</v>
      </c>
      <c r="Y9" s="1587" t="s">
        <v>1365</v>
      </c>
      <c r="Z9" s="1603">
        <v>1</v>
      </c>
      <c r="AA9" s="1606"/>
      <c r="AK9" s="1588" t="s">
        <v>1530</v>
      </c>
      <c r="AP9" s="1599" t="s">
        <v>1531</v>
      </c>
      <c r="AQ9" s="1600" t="s">
        <v>1531</v>
      </c>
      <c r="AW9" s="1632" t="s">
        <v>1532</v>
      </c>
      <c r="AX9" s="1632" t="s">
        <v>1532</v>
      </c>
      <c r="AZ9" s="1632" t="s">
        <v>1533</v>
      </c>
      <c r="BB9" s="1632" t="s">
        <v>1534</v>
      </c>
      <c r="BC9" s="1632" t="s">
        <v>1466</v>
      </c>
      <c r="BE9" s="1632">
        <v>2007</v>
      </c>
      <c r="BF9" s="1632" t="s">
        <v>1535</v>
      </c>
      <c r="BH9" s="1580" t="s">
        <v>1536</v>
      </c>
      <c r="BJ9" s="1580" t="s">
        <v>1537</v>
      </c>
      <c r="BL9" s="1580" t="s">
        <v>1537</v>
      </c>
      <c r="BN9" s="1580" t="s">
        <v>1538</v>
      </c>
      <c r="BQ9" s="1793">
        <v>4213777</v>
      </c>
      <c r="BR9" s="1580" t="s">
        <v>232</v>
      </c>
      <c r="BS9" s="1941"/>
      <c r="BT9" s="1793">
        <v>64236875</v>
      </c>
      <c r="BU9" s="1580" t="s">
        <v>383</v>
      </c>
      <c r="BV9" s="1582"/>
      <c r="BW9" s="2202"/>
      <c r="BX9" s="2202"/>
    </row>
    <row customHeight="1" ht="11.25">
      <c r="A10" s="1586" t="s">
        <v>1539</v>
      </c>
      <c r="B10" s="1587">
        <v>2008</v>
      </c>
      <c r="E10" s="1588" t="s">
        <v>1540</v>
      </c>
      <c r="F10" s="1605"/>
      <c r="G10" s="1588" t="s">
        <v>1541</v>
      </c>
      <c r="H10" s="1588" t="s">
        <v>1542</v>
      </c>
      <c r="I10" s="1588" t="s">
        <v>140</v>
      </c>
      <c r="J10" s="1579" t="s">
        <v>1543</v>
      </c>
      <c r="K10" s="1579" t="s">
        <v>1544</v>
      </c>
      <c r="O10" s="1588" t="s">
        <v>1545</v>
      </c>
      <c r="V10" s="883" t="s">
        <v>140</v>
      </c>
      <c r="W10" s="1609"/>
      <c r="X10" s="1609" t="s">
        <v>1546</v>
      </c>
      <c r="Y10" s="1610" t="s">
        <v>1547</v>
      </c>
      <c r="Z10" s="1603"/>
      <c r="AP10" s="1599" t="s">
        <v>1546</v>
      </c>
      <c r="AQ10" s="1600" t="s">
        <v>1546</v>
      </c>
      <c r="AW10" s="1632" t="s">
        <v>1548</v>
      </c>
      <c r="AX10" s="1632" t="s">
        <v>1548</v>
      </c>
      <c r="AZ10" s="1632" t="s">
        <v>1549</v>
      </c>
      <c r="BB10" s="1632" t="s">
        <v>1550</v>
      </c>
      <c r="BC10" s="1632" t="s">
        <v>1466</v>
      </c>
      <c r="BE10" s="1632">
        <v>2008</v>
      </c>
      <c r="BF10" s="1632" t="s">
        <v>1551</v>
      </c>
      <c r="BH10" s="1580" t="s">
        <v>1552</v>
      </c>
      <c r="BJ10" s="1580" t="s">
        <v>1553</v>
      </c>
      <c r="BL10" s="1580" t="s">
        <v>1553</v>
      </c>
      <c r="BN10" s="1580" t="s">
        <v>1554</v>
      </c>
      <c r="BQ10" s="1793">
        <v>4213778</v>
      </c>
      <c r="BR10" s="1580" t="s">
        <v>238</v>
      </c>
      <c r="BS10" s="1941"/>
      <c r="BT10" s="1793">
        <v>64236876</v>
      </c>
      <c r="BU10" s="1580" t="s">
        <v>282</v>
      </c>
      <c r="BV10" s="1582"/>
      <c r="BW10" s="2202"/>
      <c r="BX10" s="2202"/>
    </row>
    <row customHeight="1" ht="11.25">
      <c r="A11" s="1586" t="s">
        <v>1555</v>
      </c>
      <c r="B11" s="1587">
        <v>2009</v>
      </c>
      <c r="E11" s="1588" t="s">
        <v>1556</v>
      </c>
      <c r="F11" s="1605"/>
      <c r="G11" s="1588" t="s">
        <v>1557</v>
      </c>
      <c r="H11" s="1588" t="s">
        <v>1558</v>
      </c>
      <c r="I11" s="1588" t="s">
        <v>145</v>
      </c>
      <c r="J11" s="1589" t="s">
        <v>1559</v>
      </c>
      <c r="K11" s="1611" t="s">
        <v>1560</v>
      </c>
      <c r="O11" s="1589" t="s">
        <v>1561</v>
      </c>
      <c r="V11" s="882" t="s">
        <v>145</v>
      </c>
      <c r="W11" s="787"/>
      <c r="X11" s="1596" t="s">
        <v>1531</v>
      </c>
      <c r="Y11" s="1587" t="s">
        <v>1562</v>
      </c>
      <c r="Z11" s="1603"/>
      <c r="AP11" s="1599" t="s">
        <v>250</v>
      </c>
      <c r="AQ11" s="1601" t="s">
        <v>250</v>
      </c>
      <c r="AW11" s="1632" t="s">
        <v>1563</v>
      </c>
      <c r="AX11" s="1632" t="s">
        <v>1563</v>
      </c>
      <c r="AZ11" s="1632" t="s">
        <v>1564</v>
      </c>
      <c r="BB11" s="1632" t="s">
        <v>1565</v>
      </c>
      <c r="BC11" s="1632" t="s">
        <v>1466</v>
      </c>
      <c r="BE11" s="1632">
        <v>2009</v>
      </c>
      <c r="BF11" s="1632" t="s">
        <v>1566</v>
      </c>
      <c r="BH11" s="1580" t="s">
        <v>1567</v>
      </c>
      <c r="BJ11" s="1580" t="s">
        <v>1536</v>
      </c>
      <c r="BL11" s="1580" t="s">
        <v>1536</v>
      </c>
      <c r="BN11" s="1580" t="s">
        <v>1568</v>
      </c>
      <c r="BQ11" s="1793">
        <v>4213780</v>
      </c>
      <c r="BR11" s="1580" t="s">
        <v>244</v>
      </c>
      <c r="BS11" s="1941"/>
      <c r="BW11" s="2202"/>
      <c r="BX11" s="2202"/>
    </row>
    <row customHeight="1" ht="11.25">
      <c r="A12" s="1586" t="s">
        <v>1569</v>
      </c>
      <c r="B12" s="1587">
        <v>2010</v>
      </c>
      <c r="E12" s="1588" t="s">
        <v>1570</v>
      </c>
      <c r="F12" s="1605"/>
      <c r="G12" s="1588" t="s">
        <v>1558</v>
      </c>
      <c r="I12" s="1588" t="s">
        <v>151</v>
      </c>
      <c r="J12" s="1589" t="s">
        <v>1571</v>
      </c>
      <c r="K12" s="1611" t="s">
        <v>1572</v>
      </c>
      <c r="O12" s="1589" t="s">
        <v>1359</v>
      </c>
      <c r="V12" s="882" t="s">
        <v>151</v>
      </c>
      <c r="W12" s="1601"/>
      <c r="X12" s="1596" t="s">
        <v>1573</v>
      </c>
      <c r="Y12" s="1587" t="s">
        <v>1365</v>
      </c>
      <c r="AP12" s="1599"/>
      <c r="AW12" s="1632" t="s">
        <v>145</v>
      </c>
      <c r="AX12" s="1632" t="s">
        <v>145</v>
      </c>
      <c r="AZ12" s="1632" t="s">
        <v>1574</v>
      </c>
      <c r="BB12" s="1632" t="s">
        <v>1575</v>
      </c>
      <c r="BC12" s="1632" t="s">
        <v>1466</v>
      </c>
      <c r="BE12" s="1632">
        <v>2010</v>
      </c>
      <c r="BF12" s="1632" t="s">
        <v>1576</v>
      </c>
      <c r="BH12" s="1580" t="s">
        <v>1577</v>
      </c>
      <c r="BJ12" s="1580" t="s">
        <v>1578</v>
      </c>
      <c r="BL12" s="1580" t="s">
        <v>1578</v>
      </c>
      <c r="BN12" s="1580" t="s">
        <v>1579</v>
      </c>
      <c r="BQ12" s="1793">
        <v>4213779</v>
      </c>
      <c r="BR12" s="1580" t="s">
        <v>1531</v>
      </c>
      <c r="BS12" s="1941"/>
      <c r="BT12" s="1582"/>
      <c r="BU12" s="1582"/>
      <c r="BV12" s="1582"/>
      <c r="BW12" s="2202"/>
      <c r="BX12" s="2202"/>
    </row>
    <row customHeight="1" ht="11.25">
      <c r="A13" s="1586" t="s">
        <v>1580</v>
      </c>
      <c r="B13" s="1587">
        <v>2011</v>
      </c>
      <c r="E13" s="1588" t="s">
        <v>1581</v>
      </c>
      <c r="F13" s="1605"/>
      <c r="I13" s="1588" t="s">
        <v>156</v>
      </c>
      <c r="K13" s="1611" t="s">
        <v>1530</v>
      </c>
      <c r="V13" s="882" t="s">
        <v>156</v>
      </c>
      <c r="W13" s="1601"/>
      <c r="X13" s="1601"/>
      <c r="Y13" s="1601"/>
      <c r="AW13" s="1632" t="s">
        <v>151</v>
      </c>
      <c r="AX13" s="1632" t="s">
        <v>151</v>
      </c>
      <c r="BB13" s="1632" t="s">
        <v>1582</v>
      </c>
      <c r="BC13" s="1632" t="s">
        <v>1583</v>
      </c>
      <c r="BE13" s="1632">
        <v>2011</v>
      </c>
      <c r="BF13" s="1632" t="s">
        <v>1584</v>
      </c>
      <c r="BH13" s="1580" t="s">
        <v>1585</v>
      </c>
      <c r="BJ13" s="1580" t="s">
        <v>1567</v>
      </c>
      <c r="BL13" s="1580" t="s">
        <v>1567</v>
      </c>
      <c r="BN13" s="1580" t="s">
        <v>1586</v>
      </c>
      <c r="BQ13" s="1793">
        <v>4213783</v>
      </c>
      <c r="BR13" s="1580" t="s">
        <v>1546</v>
      </c>
      <c r="BS13" s="1941"/>
      <c r="BT13" s="1582"/>
      <c r="BU13" s="1582"/>
      <c r="BV13" s="1582"/>
      <c r="BW13" s="2206"/>
      <c r="BX13" s="2202"/>
    </row>
    <row customHeight="1" ht="11.25">
      <c r="A14" s="1586" t="s">
        <v>1587</v>
      </c>
      <c r="B14" s="1587">
        <v>2012</v>
      </c>
      <c r="I14" s="1588" t="s">
        <v>160</v>
      </c>
      <c r="J14" s="1579" t="s">
        <v>1588</v>
      </c>
      <c r="N14" s="1579" t="s">
        <v>1589</v>
      </c>
      <c r="V14" s="1595">
        <v>13</v>
      </c>
      <c r="W14" s="1596"/>
      <c r="X14" s="1596" t="s">
        <v>1398</v>
      </c>
      <c r="Y14" s="1587" t="s">
        <v>1365</v>
      </c>
      <c r="AW14" s="1632" t="s">
        <v>156</v>
      </c>
      <c r="AX14" s="1632" t="s">
        <v>156</v>
      </c>
      <c r="AZ14" s="1579" t="s">
        <v>1590</v>
      </c>
      <c r="BB14" s="1632" t="s">
        <v>1591</v>
      </c>
      <c r="BC14" s="1632" t="s">
        <v>1583</v>
      </c>
      <c r="BE14" s="1632">
        <v>2012</v>
      </c>
      <c r="BH14" s="1580" t="s">
        <v>1506</v>
      </c>
      <c r="BJ14" s="1729" t="s">
        <v>1592</v>
      </c>
      <c r="BL14" s="1729" t="s">
        <v>1592</v>
      </c>
      <c r="BN14" s="1580" t="s">
        <v>1593</v>
      </c>
      <c r="BQ14" s="1793">
        <v>4213782</v>
      </c>
      <c r="BR14" s="1580" t="s">
        <v>250</v>
      </c>
      <c r="BS14" s="1941"/>
      <c r="BT14" s="1582"/>
      <c r="BU14" s="1582"/>
      <c r="BV14" s="1582"/>
      <c r="BW14" s="2206"/>
      <c r="BX14" s="2202"/>
    </row>
    <row customHeight="1" ht="19.5">
      <c r="A15" s="1586" t="s">
        <v>1594</v>
      </c>
      <c r="B15" s="1587">
        <v>2013</v>
      </c>
      <c r="E15" s="2210" t="s">
        <v>1595</v>
      </c>
      <c r="G15" s="1579" t="s">
        <v>1596</v>
      </c>
      <c r="H15" s="1579" t="s">
        <v>1597</v>
      </c>
      <c r="I15" s="1590" t="s">
        <v>164</v>
      </c>
      <c r="J15" s="1601" t="s">
        <v>721</v>
      </c>
      <c r="N15" s="1670" t="s">
        <v>1598</v>
      </c>
      <c r="X15" s="1599"/>
      <c r="AW15" s="1632" t="s">
        <v>160</v>
      </c>
      <c r="AX15" s="1632" t="s">
        <v>160</v>
      </c>
      <c r="AZ15" s="1632" t="s">
        <v>1517</v>
      </c>
      <c r="BB15" s="1632" t="s">
        <v>1599</v>
      </c>
      <c r="BC15" s="1632" t="s">
        <v>1583</v>
      </c>
      <c r="BE15" s="1632">
        <v>2013</v>
      </c>
      <c r="BH15" s="1580" t="s">
        <v>1522</v>
      </c>
      <c r="BJ15" s="1729" t="s">
        <v>1600</v>
      </c>
      <c r="BL15" s="1729" t="s">
        <v>1600</v>
      </c>
      <c r="BN15" s="1580" t="s">
        <v>1601</v>
      </c>
      <c r="BR15" s="1582"/>
      <c r="BS15" s="1943"/>
      <c r="BT15" s="1582"/>
      <c r="BU15" s="1582"/>
      <c r="BV15" s="1582"/>
      <c r="BW15" s="2206"/>
      <c r="BX15" s="2202"/>
    </row>
    <row customHeight="1" ht="21">
      <c r="A16" s="2382" t="s">
        <v>1602</v>
      </c>
      <c r="B16" s="1587">
        <v>2014</v>
      </c>
      <c r="E16" s="2211" t="s">
        <v>1603</v>
      </c>
      <c r="G16" s="1588" t="s">
        <v>1604</v>
      </c>
      <c r="H16" s="1588" t="s">
        <v>1605</v>
      </c>
      <c r="I16" s="1590" t="s">
        <v>168</v>
      </c>
      <c r="J16" s="1601" t="s">
        <v>694</v>
      </c>
      <c r="N16" s="1670" t="s">
        <v>1606</v>
      </c>
      <c r="AW16" s="1632" t="s">
        <v>164</v>
      </c>
      <c r="AX16" s="1632" t="s">
        <v>164</v>
      </c>
      <c r="AZ16" s="1632" t="s">
        <v>1533</v>
      </c>
      <c r="BB16" s="1632" t="s">
        <v>1607</v>
      </c>
      <c r="BC16" s="1632" t="s">
        <v>1583</v>
      </c>
      <c r="BE16" s="1632">
        <v>2014</v>
      </c>
      <c r="BH16" s="1580" t="s">
        <v>1538</v>
      </c>
      <c r="BJ16" s="1729" t="s">
        <v>1608</v>
      </c>
      <c r="BL16" s="1729" t="s">
        <v>1608</v>
      </c>
      <c r="BN16" s="1580" t="s">
        <v>1609</v>
      </c>
      <c r="BR16" s="1582"/>
      <c r="BS16" s="1943"/>
      <c r="BT16" s="1582"/>
      <c r="BU16" s="1582"/>
      <c r="BV16" s="1582"/>
      <c r="BW16" s="2206"/>
      <c r="BX16" s="2202"/>
    </row>
    <row customHeight="1" ht="21">
      <c r="A17" s="1586" t="s">
        <v>1610</v>
      </c>
      <c r="B17" s="1587">
        <v>2015</v>
      </c>
      <c r="G17" s="1588" t="s">
        <v>1558</v>
      </c>
      <c r="H17" s="1588" t="s">
        <v>1558</v>
      </c>
      <c r="I17" s="1588" t="s">
        <v>118</v>
      </c>
      <c r="N17" s="1670" t="s">
        <v>1611</v>
      </c>
      <c r="X17" s="1599"/>
      <c r="AW17" s="1632" t="s">
        <v>168</v>
      </c>
      <c r="AX17" s="1632" t="s">
        <v>168</v>
      </c>
      <c r="AZ17" s="1632" t="s">
        <v>1612</v>
      </c>
      <c r="BB17" s="1632" t="s">
        <v>1613</v>
      </c>
      <c r="BC17" s="1632" t="s">
        <v>1466</v>
      </c>
      <c r="BE17" s="1632">
        <v>2015</v>
      </c>
      <c r="BH17" s="1580" t="s">
        <v>1554</v>
      </c>
      <c r="BJ17" s="1729" t="s">
        <v>1614</v>
      </c>
      <c r="BL17" s="1729" t="s">
        <v>1614</v>
      </c>
      <c r="BN17" s="1580" t="s">
        <v>1615</v>
      </c>
      <c r="BR17" s="1579" t="s">
        <v>1409</v>
      </c>
      <c r="BS17" s="1940"/>
      <c r="BU17" s="1579" t="s">
        <v>1616</v>
      </c>
      <c r="BV17" s="1582"/>
      <c r="BW17" s="2202"/>
      <c r="BX17" s="2204" t="s">
        <v>1617</v>
      </c>
      <c r="CA17" s="1579" t="s">
        <v>1618</v>
      </c>
      <c r="CD17" s="1579" t="s">
        <v>1619</v>
      </c>
    </row>
    <row customHeight="1" ht="21">
      <c r="A18" s="1586" t="s">
        <v>1620</v>
      </c>
      <c r="B18" s="1587">
        <v>2016</v>
      </c>
      <c r="E18" s="2517" t="s">
        <v>1621</v>
      </c>
      <c r="I18" s="1588" t="s">
        <v>1622</v>
      </c>
      <c r="N18" s="1670" t="s">
        <v>1623</v>
      </c>
      <c r="X18" s="1599"/>
      <c r="AW18" s="1632" t="s">
        <v>118</v>
      </c>
      <c r="AX18" s="1632" t="s">
        <v>118</v>
      </c>
      <c r="BB18" s="1632" t="s">
        <v>1624</v>
      </c>
      <c r="BC18" s="1632" t="s">
        <v>1466</v>
      </c>
      <c r="BE18" s="1632">
        <v>2016</v>
      </c>
      <c r="BH18" s="1580" t="s">
        <v>1568</v>
      </c>
      <c r="BJ18" s="1729" t="s">
        <v>1625</v>
      </c>
      <c r="BL18" s="1729" t="s">
        <v>1625</v>
      </c>
      <c r="BN18" s="1580" t="s">
        <v>1626</v>
      </c>
      <c r="BQ18" s="1944" t="s">
        <v>1439</v>
      </c>
      <c r="BR18" s="1671" t="s">
        <v>1440</v>
      </c>
      <c r="BS18" s="786"/>
      <c r="BT18" s="1944" t="s">
        <v>1627</v>
      </c>
      <c r="BU18" s="1671" t="s">
        <v>1628</v>
      </c>
      <c r="BV18" s="1582"/>
      <c r="BW18" s="2209" t="s">
        <v>1629</v>
      </c>
      <c r="BX18" s="2203" t="s">
        <v>1630</v>
      </c>
      <c r="BZ18" s="1944" t="s">
        <v>1631</v>
      </c>
      <c r="CA18" s="1671" t="s">
        <v>1632</v>
      </c>
      <c r="CC18" s="1944" t="s">
        <v>1633</v>
      </c>
      <c r="CD18" s="1671" t="s">
        <v>1634</v>
      </c>
    </row>
    <row customHeight="1" ht="21">
      <c r="A19" s="2382" t="s">
        <v>1635</v>
      </c>
      <c r="B19" s="1587">
        <v>2017</v>
      </c>
      <c r="E19" s="1586" t="s">
        <v>225</v>
      </c>
      <c r="I19" s="1588" t="s">
        <v>1636</v>
      </c>
      <c r="N19" s="1670" t="s">
        <v>1637</v>
      </c>
      <c r="X19" s="1599"/>
      <c r="AW19" s="1632" t="s">
        <v>1622</v>
      </c>
      <c r="AX19" s="1632" t="s">
        <v>1622</v>
      </c>
      <c r="AZ19" s="1579" t="s">
        <v>1638</v>
      </c>
      <c r="BB19" s="1632" t="s">
        <v>1639</v>
      </c>
      <c r="BC19" s="1632" t="s">
        <v>1466</v>
      </c>
      <c r="BE19" s="1632">
        <v>2017</v>
      </c>
      <c r="BH19" s="1580" t="s">
        <v>1640</v>
      </c>
      <c r="BJ19" s="1729" t="s">
        <v>1641</v>
      </c>
      <c r="BL19" s="1729" t="s">
        <v>1641</v>
      </c>
      <c r="BQ19" s="1793">
        <v>4190064</v>
      </c>
      <c r="BR19" s="1580" t="s">
        <v>1642</v>
      </c>
      <c r="BS19" s="1941"/>
      <c r="BT19" s="1793">
        <v>4189671</v>
      </c>
      <c r="BU19" s="1580" t="s">
        <v>1643</v>
      </c>
      <c r="BV19" s="1582"/>
      <c r="BW19" s="2207">
        <v>4189706</v>
      </c>
      <c r="BX19" s="2205" t="s">
        <v>1644</v>
      </c>
      <c r="BZ19" s="1793">
        <v>4189714</v>
      </c>
      <c r="CA19" s="1580" t="s">
        <v>1645</v>
      </c>
      <c r="CC19" s="1793">
        <v>4189708</v>
      </c>
      <c r="CD19" s="1580" t="s">
        <v>1646</v>
      </c>
    </row>
    <row customHeight="1" ht="21">
      <c r="A20" s="1586" t="s">
        <v>1647</v>
      </c>
      <c r="B20" s="1587">
        <v>2018</v>
      </c>
      <c r="E20" s="1586" t="s">
        <v>1398</v>
      </c>
      <c r="I20" s="1588" t="s">
        <v>1648</v>
      </c>
      <c r="N20" s="1670" t="s">
        <v>1649</v>
      </c>
      <c r="AW20" s="1632" t="s">
        <v>1636</v>
      </c>
      <c r="AX20" s="1632" t="s">
        <v>1636</v>
      </c>
      <c r="AZ20" s="1632" t="s">
        <v>1650</v>
      </c>
      <c r="BB20" s="1632" t="s">
        <v>1651</v>
      </c>
      <c r="BC20" s="1632" t="s">
        <v>1583</v>
      </c>
      <c r="BE20" s="1632">
        <v>2018</v>
      </c>
      <c r="BH20" s="1580" t="s">
        <v>1579</v>
      </c>
      <c r="BJ20" s="1580" t="s">
        <v>1506</v>
      </c>
      <c r="BL20" s="1580" t="s">
        <v>1506</v>
      </c>
      <c r="BQ20" s="1793">
        <v>4190065</v>
      </c>
      <c r="BR20" s="1580" t="s">
        <v>1652</v>
      </c>
      <c r="BS20" s="1941"/>
      <c r="BT20" s="1793">
        <v>4189672</v>
      </c>
      <c r="BU20" s="1580" t="s">
        <v>1653</v>
      </c>
      <c r="BV20" s="1582"/>
      <c r="BW20" s="2207">
        <v>4189705</v>
      </c>
      <c r="BX20" s="2205" t="s">
        <v>1654</v>
      </c>
      <c r="BZ20" s="1793">
        <v>4189713</v>
      </c>
      <c r="CA20" s="1580" t="s">
        <v>1654</v>
      </c>
      <c r="CC20" s="1793">
        <v>4189709</v>
      </c>
      <c r="CD20" s="1580" t="s">
        <v>1655</v>
      </c>
    </row>
    <row customHeight="1" ht="21">
      <c r="A21" s="1586" t="s">
        <v>1656</v>
      </c>
      <c r="B21" s="1587">
        <v>2019</v>
      </c>
      <c r="I21" s="1588" t="s">
        <v>1657</v>
      </c>
      <c r="N21" s="1670" t="s">
        <v>1658</v>
      </c>
      <c r="AW21" s="1632" t="s">
        <v>1648</v>
      </c>
      <c r="AX21" s="1632" t="s">
        <v>1648</v>
      </c>
      <c r="AZ21" s="1632" t="s">
        <v>1659</v>
      </c>
      <c r="BB21" s="1632" t="s">
        <v>1660</v>
      </c>
      <c r="BC21" s="1632" t="s">
        <v>1466</v>
      </c>
      <c r="BE21" s="1632">
        <v>2019</v>
      </c>
      <c r="BH21" s="1580" t="s">
        <v>1586</v>
      </c>
      <c r="BJ21" s="1580" t="s">
        <v>1522</v>
      </c>
      <c r="BL21" s="1580" t="s">
        <v>1522</v>
      </c>
      <c r="BQ21" s="1793">
        <v>4190066</v>
      </c>
      <c r="BR21" s="1580" t="s">
        <v>1661</v>
      </c>
      <c r="BS21" s="1941"/>
      <c r="BT21" s="1793">
        <v>4189673</v>
      </c>
      <c r="BU21" s="1580" t="s">
        <v>1662</v>
      </c>
      <c r="BV21" s="1582"/>
      <c r="BW21" s="2207">
        <v>4189707</v>
      </c>
      <c r="BX21" s="2205" t="s">
        <v>1663</v>
      </c>
      <c r="BZ21" s="1793">
        <v>4189712</v>
      </c>
      <c r="CA21" s="1580" t="s">
        <v>1664</v>
      </c>
      <c r="CC21" s="1793">
        <v>4189710</v>
      </c>
      <c r="CD21" s="1580" t="s">
        <v>1665</v>
      </c>
    </row>
    <row customHeight="1" ht="21">
      <c r="A22" s="1586" t="s">
        <v>1666</v>
      </c>
      <c r="B22" s="1587">
        <v>2020</v>
      </c>
      <c r="N22" s="1670" t="s">
        <v>1667</v>
      </c>
      <c r="AW22" s="1632" t="s">
        <v>1657</v>
      </c>
      <c r="AX22" s="1632" t="s">
        <v>1657</v>
      </c>
      <c r="AZ22" s="1632" t="s">
        <v>1668</v>
      </c>
      <c r="BB22" s="1632" t="s">
        <v>1669</v>
      </c>
      <c r="BC22" s="1632" t="s">
        <v>1466</v>
      </c>
      <c r="BE22" s="1632">
        <v>2020</v>
      </c>
      <c r="BH22" s="1580" t="s">
        <v>1593</v>
      </c>
      <c r="BJ22" s="1580" t="s">
        <v>1538</v>
      </c>
      <c r="BL22" s="1580" t="s">
        <v>1538</v>
      </c>
      <c r="BQ22" s="1793">
        <v>4190067</v>
      </c>
      <c r="BR22" s="1580" t="s">
        <v>1670</v>
      </c>
      <c r="BS22" s="1941"/>
      <c r="BT22" s="1793">
        <v>4189674</v>
      </c>
      <c r="BU22" s="1580" t="s">
        <v>1671</v>
      </c>
      <c r="BV22" s="1582"/>
      <c r="BW22" s="1582"/>
      <c r="CC22" s="1793">
        <v>4189711</v>
      </c>
      <c r="CD22" s="1580" t="s">
        <v>432</v>
      </c>
    </row>
    <row customHeight="1" ht="21">
      <c r="A23" s="1586" t="s">
        <v>1672</v>
      </c>
      <c r="B23" s="1587">
        <v>2021</v>
      </c>
      <c r="AW23" s="1632" t="s">
        <v>1673</v>
      </c>
      <c r="AX23" s="1632" t="s">
        <v>1673</v>
      </c>
      <c r="AZ23" s="1632" t="s">
        <v>1674</v>
      </c>
      <c r="BB23" s="1632" t="s">
        <v>1675</v>
      </c>
      <c r="BC23" s="1632" t="s">
        <v>1376</v>
      </c>
      <c r="BE23" s="1632">
        <v>2021</v>
      </c>
      <c r="BH23" s="1580" t="s">
        <v>1601</v>
      </c>
      <c r="BJ23" s="1580" t="s">
        <v>1554</v>
      </c>
      <c r="BL23" s="1580" t="s">
        <v>1554</v>
      </c>
      <c r="BQ23" s="1793">
        <v>4190068</v>
      </c>
      <c r="BR23" s="1580" t="s">
        <v>1676</v>
      </c>
      <c r="BS23" s="1941"/>
      <c r="BT23" s="1793">
        <v>4189675</v>
      </c>
      <c r="BU23" s="1580" t="s">
        <v>1677</v>
      </c>
      <c r="BV23" s="1582"/>
      <c r="BW23" s="1582"/>
      <c r="CC23" s="1793">
        <v>5110778</v>
      </c>
      <c r="CD23" s="1580" t="s">
        <v>1678</v>
      </c>
    </row>
    <row customHeight="1" ht="21">
      <c r="A24" s="1586" t="s">
        <v>1679</v>
      </c>
      <c r="B24" s="1587">
        <v>2022</v>
      </c>
      <c r="AW24" s="1632" t="s">
        <v>1680</v>
      </c>
      <c r="AX24" s="1632" t="s">
        <v>1680</v>
      </c>
      <c r="AZ24" s="1632" t="s">
        <v>1681</v>
      </c>
      <c r="BB24" s="1632" t="s">
        <v>1682</v>
      </c>
      <c r="BC24" s="1632" t="s">
        <v>1683</v>
      </c>
      <c r="BE24" s="1632">
        <v>2022</v>
      </c>
      <c r="BH24" s="1580" t="s">
        <v>1609</v>
      </c>
      <c r="BJ24" s="1580" t="s">
        <v>1568</v>
      </c>
      <c r="BL24" s="1580" t="s">
        <v>1568</v>
      </c>
      <c r="BQ24" s="1793">
        <v>4190069</v>
      </c>
      <c r="BR24" s="1580" t="s">
        <v>1684</v>
      </c>
      <c r="BS24" s="1941"/>
      <c r="BT24" s="1793">
        <v>4189676</v>
      </c>
      <c r="BU24" s="1580" t="s">
        <v>1685</v>
      </c>
      <c r="BV24" s="1582"/>
      <c r="BW24" s="1582"/>
      <c r="CC24" s="1793">
        <v>25575374</v>
      </c>
      <c r="CD24" s="1580" t="s">
        <v>1686</v>
      </c>
    </row>
    <row customHeight="1" ht="11.25">
      <c r="A25" s="1586" t="s">
        <v>1687</v>
      </c>
      <c r="B25" s="1587">
        <v>2023</v>
      </c>
      <c r="AW25" s="1632" t="s">
        <v>1688</v>
      </c>
      <c r="AX25" s="1632" t="s">
        <v>1688</v>
      </c>
      <c r="AZ25" s="1632" t="s">
        <v>1689</v>
      </c>
      <c r="BB25" s="1632" t="s">
        <v>1690</v>
      </c>
      <c r="BC25" s="1632" t="s">
        <v>1683</v>
      </c>
      <c r="BE25" s="1632">
        <v>2023</v>
      </c>
      <c r="BH25" s="1580" t="s">
        <v>1615</v>
      </c>
      <c r="BJ25" s="1580" t="s">
        <v>1640</v>
      </c>
      <c r="BL25" s="1580" t="s">
        <v>1640</v>
      </c>
      <c r="BQ25" s="1793">
        <v>4190070</v>
      </c>
      <c r="BR25" s="1580" t="s">
        <v>1691</v>
      </c>
      <c r="BS25" s="1941"/>
      <c r="BT25" s="1793">
        <v>4189677</v>
      </c>
      <c r="BU25" s="1580" t="s">
        <v>1692</v>
      </c>
      <c r="BV25" s="1582"/>
      <c r="BW25" s="1582"/>
    </row>
    <row customHeight="1" ht="11.25">
      <c r="A26" s="1586" t="s">
        <v>1693</v>
      </c>
      <c r="B26" s="1587">
        <v>2024</v>
      </c>
      <c r="J26" s="2243" t="s">
        <v>1694</v>
      </c>
      <c r="AX26" s="1632" t="s">
        <v>1695</v>
      </c>
      <c r="AZ26" s="1632" t="s">
        <v>1561</v>
      </c>
      <c r="BB26" s="1632" t="s">
        <v>1696</v>
      </c>
      <c r="BC26" s="1632" t="s">
        <v>1683</v>
      </c>
      <c r="BE26" s="1632">
        <v>2024</v>
      </c>
      <c r="BH26" s="1580" t="s">
        <v>1626</v>
      </c>
      <c r="BJ26" s="1580" t="s">
        <v>1579</v>
      </c>
      <c r="BL26" s="1580" t="s">
        <v>1579</v>
      </c>
      <c r="BQ26" s="1793">
        <v>4190071</v>
      </c>
      <c r="BR26" s="1580" t="s">
        <v>1697</v>
      </c>
      <c r="BS26" s="1941"/>
      <c r="BV26" s="1582"/>
      <c r="BW26" s="1582"/>
    </row>
    <row customHeight="1" ht="11.25">
      <c r="A27" s="1586" t="s">
        <v>1698</v>
      </c>
      <c r="B27" s="1587">
        <v>2025</v>
      </c>
      <c r="J27" s="688" t="s">
        <v>106</v>
      </c>
      <c r="AX27" s="1632" t="s">
        <v>1699</v>
      </c>
      <c r="BB27" s="1632" t="s">
        <v>1700</v>
      </c>
      <c r="BC27" s="1632" t="s">
        <v>1683</v>
      </c>
      <c r="BE27" s="1632">
        <v>2025</v>
      </c>
      <c r="BH27" s="1582" t="s">
        <v>28</v>
      </c>
      <c r="BJ27" s="1580" t="s">
        <v>1586</v>
      </c>
      <c r="BL27" s="1580" t="s">
        <v>1586</v>
      </c>
      <c r="BN27" s="1582" t="s">
        <v>28</v>
      </c>
      <c r="BQ27" s="1793">
        <v>4190072</v>
      </c>
      <c r="BR27" s="1580" t="s">
        <v>1701</v>
      </c>
      <c r="BS27" s="1941"/>
      <c r="BV27" s="1582"/>
      <c r="BW27" s="1582"/>
    </row>
    <row customHeight="1" ht="11.25">
      <c r="A28" s="1586" t="s">
        <v>1702</v>
      </c>
      <c r="D28" s="1613"/>
      <c r="E28" s="1614"/>
      <c r="F28" s="1614"/>
      <c r="H28" s="1615" t="s">
        <v>1703</v>
      </c>
      <c r="AX28" s="1632" t="s">
        <v>1704</v>
      </c>
      <c r="AZ28" s="1579" t="s">
        <v>1705</v>
      </c>
      <c r="BB28" s="1632" t="s">
        <v>1706</v>
      </c>
      <c r="BC28" s="1632" t="s">
        <v>1707</v>
      </c>
      <c r="BE28" s="1632">
        <v>2026</v>
      </c>
      <c r="BH28" s="1582" t="s">
        <v>28</v>
      </c>
      <c r="BJ28" s="1580" t="s">
        <v>1593</v>
      </c>
      <c r="BL28" s="1580" t="s">
        <v>1593</v>
      </c>
      <c r="BN28" s="1582" t="s">
        <v>28</v>
      </c>
      <c r="BQ28" s="1793">
        <v>4190073</v>
      </c>
      <c r="BR28" s="1580" t="s">
        <v>1708</v>
      </c>
      <c r="BS28" s="1941"/>
      <c r="BV28" s="1582"/>
      <c r="BW28" s="1582"/>
    </row>
    <row customHeight="1" ht="11.25">
      <c r="A29" s="1586" t="s">
        <v>1709</v>
      </c>
      <c r="D29" s="1616" t="s">
        <v>1710</v>
      </c>
      <c r="E29" s="1617" t="str">
        <f>IF(TEMPLATE_GROUP="","",INDEX(StartDateList,MATCH(TEMPLATE_GROUP,CodeTemplateList,0),1))</f>
        <v>01.01.2024</v>
      </c>
      <c r="F29" s="1617" t="str">
        <f>IF(TEMPLATE_GROUP="","",INDEX(EndDateList,MATCH(TEMPLATE_GROUP,CodeTemplateList,0),1))</f>
        <v>31.12.2028</v>
      </c>
      <c r="H29" s="1618" t="s">
        <v>1711</v>
      </c>
      <c r="AX29" s="1632" t="s">
        <v>1712</v>
      </c>
      <c r="AZ29" s="1632" t="s">
        <v>1360</v>
      </c>
      <c r="BB29" s="1632" t="s">
        <v>1561</v>
      </c>
      <c r="BC29" s="1603"/>
      <c r="BE29" s="1632">
        <v>2027</v>
      </c>
      <c r="BJ29" s="1580" t="s">
        <v>1601</v>
      </c>
      <c r="BL29" s="1580" t="s">
        <v>1601</v>
      </c>
    </row>
    <row customHeight="1" ht="11.25">
      <c r="A30" s="1586" t="s">
        <v>1713</v>
      </c>
      <c r="D30" s="1619"/>
      <c r="E30" s="1620"/>
      <c r="F30" s="1620"/>
      <c r="AX30" s="1632" t="s">
        <v>108</v>
      </c>
      <c r="AZ30" s="1632" t="s">
        <v>1387</v>
      </c>
      <c r="BE30" s="1632">
        <v>2028</v>
      </c>
      <c r="BJ30" s="1580" t="s">
        <v>1714</v>
      </c>
      <c r="BL30" s="1580" t="s">
        <v>1714</v>
      </c>
    </row>
    <row customHeight="1" ht="12.75">
      <c r="A31" s="1586" t="s">
        <v>1715</v>
      </c>
      <c r="D31" s="1613"/>
      <c r="E31" s="1614"/>
      <c r="F31" s="1614"/>
      <c r="H31" s="1621"/>
      <c r="AX31" s="1632" t="s">
        <v>1716</v>
      </c>
      <c r="AZ31" s="1632" t="s">
        <v>632</v>
      </c>
      <c r="BE31" s="1632">
        <v>2029</v>
      </c>
      <c r="BJ31" s="1580" t="s">
        <v>1717</v>
      </c>
      <c r="BL31" s="1580" t="s">
        <v>1717</v>
      </c>
    </row>
    <row customHeight="1" ht="11.25">
      <c r="A32" s="1586" t="s">
        <v>1718</v>
      </c>
      <c r="D32" s="1616" t="s">
        <v>1719</v>
      </c>
      <c r="E32" s="1617" t="str">
        <f>IF(TEMPLATE_GROUP="","",INDEX(StartDateList,MATCH(TEMPLATE_GROUP,CodeTemplateList,0),1))</f>
        <v>01.01.2024</v>
      </c>
      <c r="F32" s="1617" t="str">
        <f>IF(TEMPLATE_GROUP="","",INDEX(EndDateList,MATCH(TEMPLATE_GROUP,CodeTemplateList,0),1))</f>
        <v>31.12.2028</v>
      </c>
      <c r="H32" s="1622" t="s">
        <v>1720</v>
      </c>
      <c r="O32" s="1586" t="s">
        <v>1357</v>
      </c>
      <c r="AX32" s="1632" t="s">
        <v>1721</v>
      </c>
      <c r="AZ32" s="1632" t="s">
        <v>633</v>
      </c>
      <c r="BE32" s="1632">
        <v>2030</v>
      </c>
      <c r="BJ32" s="1580" t="s">
        <v>1609</v>
      </c>
      <c r="BL32" s="1580" t="s">
        <v>1609</v>
      </c>
    </row>
    <row customHeight="1" ht="11.25">
      <c r="A33" s="1586" t="s">
        <v>1722</v>
      </c>
      <c r="O33" s="1586" t="s">
        <v>1385</v>
      </c>
      <c r="AX33" s="1632" t="s">
        <v>1723</v>
      </c>
      <c r="AZ33" s="1632" t="s">
        <v>1359</v>
      </c>
      <c r="BE33" s="1632">
        <v>2031</v>
      </c>
      <c r="BJ33" s="1580" t="s">
        <v>1615</v>
      </c>
      <c r="BL33" s="1580" t="s">
        <v>1615</v>
      </c>
    </row>
    <row customHeight="1" ht="11.25">
      <c r="A34" s="1586" t="s">
        <v>1724</v>
      </c>
      <c r="O34" s="1586" t="s">
        <v>1420</v>
      </c>
      <c r="AX34" s="1632" t="s">
        <v>1725</v>
      </c>
      <c r="BE34" s="1632">
        <v>2032</v>
      </c>
      <c r="BJ34" s="1580" t="s">
        <v>1626</v>
      </c>
      <c r="BL34" s="1580" t="s">
        <v>1626</v>
      </c>
    </row>
    <row customHeight="1" ht="11.25">
      <c r="A35" s="1586" t="s">
        <v>1726</v>
      </c>
      <c r="O35" s="1586" t="s">
        <v>1453</v>
      </c>
      <c r="AX35" s="1632" t="s">
        <v>1727</v>
      </c>
      <c r="AZ35" s="1579" t="s">
        <v>1728</v>
      </c>
      <c r="BE35" s="1632">
        <v>2033</v>
      </c>
      <c r="BL35" s="1580" t="s">
        <v>1729</v>
      </c>
    </row>
    <row customHeight="1" ht="11.25">
      <c r="A36" s="2382" t="s">
        <v>1730</v>
      </c>
      <c r="D36" s="1623" t="s">
        <v>1731</v>
      </c>
      <c r="E36" s="1624" t="s">
        <v>991</v>
      </c>
      <c r="F36" s="1625" t="str">
        <f>INDEX(E37:E41,MATCH(TEMPLATE_SPHERE,F37:F41,0))</f>
        <v>холодного водоснабжения</v>
      </c>
      <c r="G36" s="1625" t="str">
        <f>INDEX(G37:G41,MATCH(TEMPLATE_SPHERE,F37:F41,0))</f>
        <v>холодное водоснабжение</v>
      </c>
      <c r="O36" s="1586" t="s">
        <v>1477</v>
      </c>
      <c r="AX36" s="1632" t="s">
        <v>1732</v>
      </c>
      <c r="AZ36" s="1632" t="s">
        <v>1359</v>
      </c>
      <c r="BE36" s="1632">
        <v>2034</v>
      </c>
      <c r="BL36" s="1580" t="s">
        <v>1733</v>
      </c>
    </row>
    <row customHeight="1" ht="11.25">
      <c r="A37" s="1586" t="s">
        <v>1734</v>
      </c>
      <c r="E37" s="919" t="s">
        <v>1735</v>
      </c>
      <c r="F37" s="1626" t="s">
        <v>945</v>
      </c>
      <c r="G37" s="919" t="s">
        <v>1736</v>
      </c>
      <c r="O37" s="1586" t="s">
        <v>1496</v>
      </c>
      <c r="AX37" s="1632" t="s">
        <v>1737</v>
      </c>
      <c r="AZ37" s="1632" t="s">
        <v>1386</v>
      </c>
      <c r="BE37" s="1632">
        <v>2035</v>
      </c>
    </row>
    <row customHeight="1" ht="11.25">
      <c r="A38" s="1586" t="s">
        <v>1738</v>
      </c>
      <c r="E38" s="919" t="s">
        <v>1739</v>
      </c>
      <c r="F38" s="1627" t="s">
        <v>991</v>
      </c>
      <c r="G38" s="919" t="s">
        <v>1740</v>
      </c>
      <c r="O38" s="1586" t="s">
        <v>1513</v>
      </c>
      <c r="AX38" s="1632" t="s">
        <v>1741</v>
      </c>
      <c r="AZ38" s="1632" t="s">
        <v>1421</v>
      </c>
      <c r="BE38" s="1632">
        <v>2036</v>
      </c>
      <c r="BH38" s="1579" t="s">
        <v>1742</v>
      </c>
      <c r="BJ38" s="1579" t="s">
        <v>1743</v>
      </c>
      <c r="BL38" s="1579" t="s">
        <v>1744</v>
      </c>
      <c r="BN38" s="1579" t="s">
        <v>1745</v>
      </c>
    </row>
    <row customHeight="1" ht="11.25">
      <c r="A39" s="1586" t="s">
        <v>1746</v>
      </c>
      <c r="E39" s="919" t="s">
        <v>1747</v>
      </c>
      <c r="F39" s="1627" t="s">
        <v>1044</v>
      </c>
      <c r="G39" s="919" t="s">
        <v>1748</v>
      </c>
      <c r="O39" s="1586" t="s">
        <v>1529</v>
      </c>
      <c r="AX39" s="1632" t="s">
        <v>1749</v>
      </c>
      <c r="AZ39" s="1632" t="s">
        <v>1454</v>
      </c>
      <c r="BE39" s="1632">
        <v>2037</v>
      </c>
      <c r="BH39" s="1580" t="s">
        <v>1750</v>
      </c>
      <c r="BJ39" s="1729" t="s">
        <v>1750</v>
      </c>
      <c r="BL39" s="1729" t="s">
        <v>1750</v>
      </c>
      <c r="BN39" s="1580" t="s">
        <v>1751</v>
      </c>
    </row>
    <row customHeight="1" ht="11.25">
      <c r="A40" s="1586" t="s">
        <v>1752</v>
      </c>
      <c r="E40" s="919" t="s">
        <v>1753</v>
      </c>
      <c r="F40" s="1627" t="s">
        <v>1031</v>
      </c>
      <c r="G40" s="919" t="s">
        <v>1754</v>
      </c>
      <c r="O40" s="1586" t="s">
        <v>1545</v>
      </c>
      <c r="AX40" s="1632" t="s">
        <v>1755</v>
      </c>
      <c r="BE40" s="1632">
        <v>2038</v>
      </c>
      <c r="BH40" s="1580" t="s">
        <v>1756</v>
      </c>
      <c r="BJ40" s="1729" t="s">
        <v>1164</v>
      </c>
      <c r="BL40" s="1729" t="s">
        <v>1164</v>
      </c>
      <c r="BN40" s="1580" t="s">
        <v>1198</v>
      </c>
    </row>
    <row customHeight="1" ht="11.25">
      <c r="A41" s="1586" t="s">
        <v>1757</v>
      </c>
      <c r="E41" s="919" t="s">
        <v>1758</v>
      </c>
      <c r="F41" s="1627" t="s">
        <v>1759</v>
      </c>
      <c r="G41" s="919" t="s">
        <v>1758</v>
      </c>
      <c r="O41" s="1586" t="s">
        <v>1561</v>
      </c>
      <c r="AX41" s="1632" t="s">
        <v>1760</v>
      </c>
      <c r="AZ41" s="1579" t="s">
        <v>1761</v>
      </c>
      <c r="BE41" s="1632">
        <v>2039</v>
      </c>
      <c r="BH41" s="1580" t="s">
        <v>1762</v>
      </c>
      <c r="BJ41" s="1729" t="s">
        <v>1160</v>
      </c>
      <c r="BL41" s="1729" t="s">
        <v>1160</v>
      </c>
      <c r="BN41" s="1580" t="s">
        <v>1185</v>
      </c>
    </row>
    <row customHeight="1" ht="11.25">
      <c r="A42" s="1586" t="s">
        <v>1763</v>
      </c>
      <c r="AX42" s="1632" t="s">
        <v>1764</v>
      </c>
      <c r="AZ42" s="1632" t="s">
        <v>1357</v>
      </c>
      <c r="BE42" s="1632">
        <v>2040</v>
      </c>
      <c r="BH42" s="1580" t="s">
        <v>1182</v>
      </c>
      <c r="BJ42" s="1729" t="s">
        <v>1162</v>
      </c>
      <c r="BL42" s="1729" t="s">
        <v>1162</v>
      </c>
      <c r="BN42" s="1580" t="s">
        <v>1765</v>
      </c>
    </row>
    <row customHeight="1" ht="11.25">
      <c r="A43" s="1586" t="s">
        <v>1766</v>
      </c>
      <c r="AX43" s="1632" t="s">
        <v>1767</v>
      </c>
      <c r="AZ43" s="1632" t="s">
        <v>1385</v>
      </c>
      <c r="BE43" s="1632">
        <v>2041</v>
      </c>
      <c r="BH43" s="1580" t="s">
        <v>1768</v>
      </c>
      <c r="BJ43" s="1729" t="s">
        <v>1762</v>
      </c>
      <c r="BL43" s="1729" t="s">
        <v>1762</v>
      </c>
      <c r="BN43" s="1580" t="s">
        <v>1769</v>
      </c>
    </row>
    <row customHeight="1" ht="11.25">
      <c r="A44" s="1586" t="s">
        <v>1770</v>
      </c>
      <c r="G44" s="1606">
        <f>YEAR(TODAY())</f>
        <v>2024</v>
      </c>
      <c r="I44" s="1311" t="s">
        <v>1771</v>
      </c>
      <c r="J44" s="1601" t="s">
        <v>1772</v>
      </c>
      <c r="K44" s="1601" t="s">
        <v>1773</v>
      </c>
      <c r="AX44" s="1632" t="s">
        <v>1774</v>
      </c>
      <c r="AZ44" s="1632" t="s">
        <v>1420</v>
      </c>
      <c r="BE44" s="1632">
        <v>2042</v>
      </c>
      <c r="BH44" s="1580" t="s">
        <v>1775</v>
      </c>
      <c r="BJ44" s="1729" t="s">
        <v>1182</v>
      </c>
      <c r="BL44" s="1729" t="s">
        <v>1182</v>
      </c>
      <c r="BN44" s="1580" t="s">
        <v>1776</v>
      </c>
    </row>
    <row customHeight="1" ht="11.25">
      <c r="A45" s="1586" t="s">
        <v>1777</v>
      </c>
      <c r="D45" s="1623" t="s">
        <v>1778</v>
      </c>
      <c r="E45" s="1624" t="s">
        <v>1779</v>
      </c>
      <c r="F45" s="1309" t="s">
        <v>1780</v>
      </c>
      <c r="G45" s="1308" t="s">
        <v>1781</v>
      </c>
      <c r="H45" s="1311" t="s">
        <v>1782</v>
      </c>
      <c r="I45" s="2253">
        <f>INDEX(PeriodIsEmptyList,MATCH(TEMPLATE_GROUP,CodeTemplateList,0),1)</f>
        <v>0</v>
      </c>
      <c r="J45" s="2256" t="str">
        <f>INDEX(NameTemplatesInTitleList,MATCH(TEMPLATE_GROUP,CodeTemplateList,0),1)</f>
        <v>Показатели, подлежащие раскрытию в сфере холодного водоснабжения (цены и тарифы)</v>
      </c>
      <c r="K45" s="22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632" t="s">
        <v>1783</v>
      </c>
      <c r="AZ45" s="1632" t="s">
        <v>1453</v>
      </c>
      <c r="BE45" s="1632">
        <v>2043</v>
      </c>
      <c r="BH45" s="1580" t="s">
        <v>1784</v>
      </c>
      <c r="BJ45" s="1729" t="s">
        <v>1176</v>
      </c>
      <c r="BL45" s="1729" t="s">
        <v>1176</v>
      </c>
      <c r="BN45" s="1580" t="s">
        <v>1785</v>
      </c>
    </row>
    <row customHeight="1" ht="11.25">
      <c r="A46" s="1586" t="s">
        <v>1786</v>
      </c>
      <c r="E46" s="919" t="s">
        <v>26</v>
      </c>
      <c r="F46" s="1626" t="s">
        <v>1787</v>
      </c>
      <c r="G46" s="1628" t="str">
        <f>_xlfn.IFERROR(IF(TITLE_DATE_FIL="","01.01."&amp;CURRENT_YEAR,"01.01."&amp;YEAR(TITLE_DATE_FIL)),"01.01."&amp;CURRENT_YEAR)</f>
        <v>01.01.2024</v>
      </c>
      <c r="H46" s="1628" t="str">
        <f>_xlfn.IFERROR(IF(TITLE_DATE_FIL="","31.12."&amp;CURRENT_YEAR,"31.12."&amp;YEAR(TITLE_DATE_FIL)),"31.12."&amp;CURRENT_YEAR)</f>
        <v>31.12.2024</v>
      </c>
      <c r="I46" s="2254">
        <f>IF(TITLE_DATE_FIL="",TRUE,FALSE)</f>
        <v>1</v>
      </c>
      <c r="J46" s="2257" t="str">
        <f>"Общая информация о регулируемой организации ("&amp;TEMPLATE_SPHERE_RUS&amp;")"</f>
        <v>Общая информация о регулируемой организации (холодного водоснабжения)</v>
      </c>
      <c r="K46" s="2258"/>
      <c r="AX46" s="1632" t="s">
        <v>113</v>
      </c>
      <c r="AZ46" s="1632" t="s">
        <v>1477</v>
      </c>
      <c r="BE46" s="1632">
        <v>2044</v>
      </c>
      <c r="BH46" s="1580" t="s">
        <v>1185</v>
      </c>
      <c r="BJ46" s="1729" t="s">
        <v>1166</v>
      </c>
      <c r="BL46" s="1729" t="s">
        <v>1166</v>
      </c>
      <c r="BN46" s="1580" t="s">
        <v>1788</v>
      </c>
    </row>
    <row customHeight="1" ht="11.25">
      <c r="A47" s="1586" t="s">
        <v>1789</v>
      </c>
      <c r="E47" s="919" t="s">
        <v>33</v>
      </c>
      <c r="F47" s="1627" t="s">
        <v>1790</v>
      </c>
      <c r="G47" s="1628" t="str">
        <f>_xlfn.IFERROR(IF(f_year="","01.01."&amp;CURRENT_YEAR,IF(LEN(f_quart)=0,"01.01."&amp;f_year,IF(f_quart="I квартал","01.01."&amp;f_year,IF(f_quart="II квартал","01.04."&amp;f_year,(IF(f_quart="III квартал","01.07."&amp;f_year,"01.10."&amp;f_year)))))),"01.01."&amp;CURRENT_YEAR)</f>
        <v>01.01.2024</v>
      </c>
      <c r="H47" s="1628" t="str">
        <f>_xlfn.IFERROR(IF(f_year="","31.12."&amp;CURRENT_YEAR,IF(LEN(f_quart)=0,"31.12."&amp;f_year,IF(f_quart="I квартал","31.03."&amp;f_year,IF(f_quart="II квартал","30.06."&amp;f_year,(IF(f_quart="III квартал","30.09."&amp;f_year,"31.12."&amp;f_year)))))),"31.12."&amp;CURRENT_YEAR)</f>
        <v>31.12.2024</v>
      </c>
      <c r="I47" s="2255">
        <f>IF(OR(f_year="",f_quart=""),TRUE,FALSE)</f>
        <v>1</v>
      </c>
      <c r="J47" s="22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2258"/>
      <c r="AX47" s="1632" t="s">
        <v>1791</v>
      </c>
      <c r="AZ47" s="1632" t="s">
        <v>1496</v>
      </c>
      <c r="BE47" s="1632">
        <v>2045</v>
      </c>
      <c r="BH47" s="1580" t="s">
        <v>1765</v>
      </c>
      <c r="BJ47" s="1729" t="s">
        <v>1168</v>
      </c>
      <c r="BL47" s="1729" t="s">
        <v>1168</v>
      </c>
      <c r="BN47" s="1580" t="s">
        <v>1792</v>
      </c>
    </row>
    <row customHeight="1" ht="11.25">
      <c r="A48" s="1586" t="s">
        <v>1793</v>
      </c>
      <c r="E48" s="919" t="s">
        <v>1794</v>
      </c>
      <c r="F48" s="1627" t="s">
        <v>1795</v>
      </c>
      <c r="G48" s="1628" t="str">
        <f>_xlfn.IFERROR(IF(f_year="","01.01."&amp;CURRENT_YEAR,"01.01."&amp;f_year),"01.01."&amp;CURRENT_YEAR)</f>
        <v>01.01.2024</v>
      </c>
      <c r="H48" s="1628" t="str">
        <f>_xlfn.IFERROR(IF(f_year="","31.12."&amp;CURRENT_YEAR,"31.12."&amp;f_year),"31.12."&amp;CURRENT_YEAR)</f>
        <v>31.12.2024</v>
      </c>
      <c r="I48" s="2254">
        <f>IF(f_year="",TRUE,FALSE)</f>
        <v>1</v>
      </c>
      <c r="J48" s="2257" t="s">
        <v>1796</v>
      </c>
      <c r="K48" s="2258"/>
      <c r="AX48" s="1632" t="s">
        <v>1797</v>
      </c>
      <c r="AZ48" s="1632" t="s">
        <v>1513</v>
      </c>
      <c r="BE48" s="1632">
        <v>2046</v>
      </c>
      <c r="BH48" s="1580" t="s">
        <v>1769</v>
      </c>
      <c r="BJ48" s="1729" t="s">
        <v>1170</v>
      </c>
      <c r="BL48" s="1729" t="s">
        <v>1170</v>
      </c>
      <c r="BN48" s="1580" t="s">
        <v>1798</v>
      </c>
    </row>
    <row customHeight="1" ht="11.25">
      <c r="A49" s="1586" t="s">
        <v>16</v>
      </c>
      <c r="E49" s="919" t="s">
        <v>1799</v>
      </c>
      <c r="F49" s="1627" t="s">
        <v>1800</v>
      </c>
      <c r="G49" s="1628" t="str">
        <f>_xlfn.IFERROR(IF(f_year="","01.01."&amp;CURRENT_YEAR,"01.01."&amp;f_year),"01.01."&amp;CURRENT_YEAR)</f>
        <v>01.01.2024</v>
      </c>
      <c r="H49" s="1628" t="str">
        <f>_xlfn.IFERROR(IF(f_year="","31.12."&amp;CURRENT_YEAR,"31.12."&amp;f_year),"31.12."&amp;CURRENT_YEAR)</f>
        <v>31.12.2024</v>
      </c>
      <c r="I49" s="2254">
        <f>IF(f_year="",TRUE,FALSE)</f>
        <v>1</v>
      </c>
      <c r="J49" s="22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2258"/>
      <c r="AX49" s="1632" t="s">
        <v>1801</v>
      </c>
      <c r="AZ49" s="1632" t="s">
        <v>1529</v>
      </c>
      <c r="BE49" s="1632">
        <v>2047</v>
      </c>
      <c r="BH49" s="1580" t="s">
        <v>1186</v>
      </c>
      <c r="BJ49" s="1729" t="s">
        <v>1172</v>
      </c>
      <c r="BL49" s="1729" t="s">
        <v>1172</v>
      </c>
    </row>
    <row customHeight="1" ht="11.25">
      <c r="A50" s="1586" t="s">
        <v>1802</v>
      </c>
      <c r="E50" s="919" t="s">
        <v>1803</v>
      </c>
      <c r="F50" s="1627" t="s">
        <v>1156</v>
      </c>
      <c r="G50" s="1628" t="str">
        <f>_xlfn.IFERROR(IF(f_year="","01.01."&amp;CURRENT_YEAR,"01.01."&amp;f_year),"01.01."&amp;CURRENT_YEAR)</f>
        <v>01.01.2024</v>
      </c>
      <c r="H50" s="1628" t="str">
        <f>_xlfn.IFERROR(IF(f_year="","31.12."&amp;CURRENT_YEAR,"31.12."&amp;f_year),"31.12."&amp;CURRENT_YEAR)</f>
        <v>31.12.2024</v>
      </c>
      <c r="I50" s="2254">
        <f>IF(f_year="",TRUE,FALSE)</f>
        <v>1</v>
      </c>
      <c r="J50" s="22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2258"/>
      <c r="AX50" s="1632" t="s">
        <v>1804</v>
      </c>
      <c r="AZ50" s="1632" t="s">
        <v>1545</v>
      </c>
      <c r="BE50" s="1632">
        <v>2048</v>
      </c>
      <c r="BH50" s="1580" t="s">
        <v>1776</v>
      </c>
      <c r="BJ50" s="1729" t="s">
        <v>1174</v>
      </c>
      <c r="BL50" s="1729" t="s">
        <v>1174</v>
      </c>
    </row>
    <row customHeight="1" ht="11.25">
      <c r="A51" s="1586" t="s">
        <v>1805</v>
      </c>
      <c r="E51" s="919" t="s">
        <v>1806</v>
      </c>
      <c r="F51" s="1627" t="s">
        <v>1807</v>
      </c>
      <c r="G51" s="1628" t="str">
        <f>_xlfn.IFERROR(IF(TITLE_PERIOD_START="","01.01."&amp;CURRENT_YEAR,"01.01."&amp;YEAR(TITLE_PERIOD_START)),"01.01."&amp;CURRENT_YEAR)</f>
        <v>01.01.2024</v>
      </c>
      <c r="H51" s="1628" t="str">
        <f>_xlfn.IFERROR(IF(TITLE_PERIOD_END="","31.12."&amp;CURRENT_YEAR,"31.12."&amp;YEAR(TITLE_PERIOD_END)),"31.12."&amp;CURRENT_YEAR)</f>
        <v>31.12.2028</v>
      </c>
      <c r="I51" s="2255">
        <f>IF(OR(TITLE_PERIOD_START="",TITLE_PERIOD_END=""),TRUE,FALSE)</f>
        <v>0</v>
      </c>
      <c r="J51" s="22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8"/>
      <c r="AX51" s="1632" t="s">
        <v>1808</v>
      </c>
      <c r="AZ51" s="1632" t="s">
        <v>1561</v>
      </c>
      <c r="BE51" s="1632">
        <v>2049</v>
      </c>
      <c r="BH51" s="1580" t="s">
        <v>1785</v>
      </c>
      <c r="BJ51" s="1729" t="s">
        <v>1809</v>
      </c>
      <c r="BL51" s="1729" t="s">
        <v>1809</v>
      </c>
    </row>
    <row customHeight="1" ht="11.25">
      <c r="A52" s="1586" t="s">
        <v>1810</v>
      </c>
      <c r="E52" s="919" t="s">
        <v>1811</v>
      </c>
      <c r="F52" s="1627" t="s">
        <v>1779</v>
      </c>
      <c r="G52" s="1628" t="str">
        <f>_xlfn.IFERROR(IF(TITLE_PERIOD_START="","01.01."&amp;CURRENT_YEAR,"01.01."&amp;YEAR(TITLE_PERIOD_START)),"01.01."&amp;CURRENT_YEAR)</f>
        <v>01.01.2024</v>
      </c>
      <c r="H52" s="1628" t="str">
        <f>_xlfn.IFERROR(IF(TITLE_PERIOD_END="","31.12."&amp;CURRENT_YEAR,"31.12."&amp;YEAR(TITLE_PERIOD_END)),"31.12."&amp;CURRENT_YEAR)</f>
        <v>31.12.2028</v>
      </c>
      <c r="I52" s="2255">
        <f>IF(OR(TITLE_PERIOD_START="",TITLE_PERIOD_END=""),TRUE,FALSE)</f>
        <v>0</v>
      </c>
      <c r="J52" s="2257"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2258"/>
      <c r="AX52" s="1632" t="s">
        <v>1812</v>
      </c>
      <c r="AZ52" s="1632" t="s">
        <v>1359</v>
      </c>
      <c r="BE52" s="1632">
        <v>2050</v>
      </c>
      <c r="BH52" s="1580" t="s">
        <v>1788</v>
      </c>
      <c r="BJ52" s="1729" t="s">
        <v>1185</v>
      </c>
      <c r="BL52" s="1729" t="s">
        <v>1185</v>
      </c>
    </row>
    <row customHeight="1" ht="11.25">
      <c r="A53" s="1586" t="s">
        <v>1813</v>
      </c>
      <c r="E53" s="919" t="s">
        <v>1814</v>
      </c>
      <c r="F53" s="1627" t="s">
        <v>1814</v>
      </c>
      <c r="G53" s="1628" t="str">
        <f>_xlfn.IFERROR(IF(f_year="","01.01."&amp;CURRENT_YEAR,"01.01."&amp;f_year),"01.01."&amp;CURRENT_YEAR)</f>
        <v>01.01.2024</v>
      </c>
      <c r="H53" s="1628" t="str">
        <f>_xlfn.IFERROR(IF(f_year="","31.12."&amp;CURRENT_YEAR,"31.12."&amp;f_year),"31.12."&amp;CURRENT_YEAR)</f>
        <v>31.12.2024</v>
      </c>
      <c r="I53" s="2254">
        <f>IF(AND(f_year="",TITLE_DATE_FIL=""),TRUE,FALSE)</f>
        <v>1</v>
      </c>
      <c r="J53" s="2257" t="s">
        <v>1815</v>
      </c>
      <c r="K53" s="2258"/>
      <c r="AX53" s="1632" t="s">
        <v>1816</v>
      </c>
      <c r="BE53" s="1632">
        <v>2051</v>
      </c>
      <c r="BH53" s="1580" t="s">
        <v>1792</v>
      </c>
      <c r="BJ53" s="1729" t="s">
        <v>1765</v>
      </c>
      <c r="BL53" s="1729" t="s">
        <v>1765</v>
      </c>
    </row>
    <row customHeight="1" ht="11.25">
      <c r="A54" s="1586" t="s">
        <v>1817</v>
      </c>
      <c r="AX54" s="1632" t="s">
        <v>1818</v>
      </c>
      <c r="AZ54" s="1579" t="s">
        <v>1819</v>
      </c>
      <c r="BE54" s="1632">
        <v>2052</v>
      </c>
      <c r="BH54" s="1580" t="s">
        <v>1798</v>
      </c>
      <c r="BJ54" s="1729" t="s">
        <v>1769</v>
      </c>
      <c r="BL54" s="1729" t="s">
        <v>1769</v>
      </c>
    </row>
    <row customHeight="1" ht="11.25">
      <c r="A55" s="1586" t="s">
        <v>1820</v>
      </c>
      <c r="AX55" s="1632" t="s">
        <v>1821</v>
      </c>
      <c r="AZ55" s="1632" t="s">
        <v>1361</v>
      </c>
      <c r="BE55" s="1632">
        <v>2053</v>
      </c>
      <c r="BH55" s="1582" t="s">
        <v>28</v>
      </c>
      <c r="BJ55" s="1729" t="s">
        <v>1186</v>
      </c>
      <c r="BL55" s="1729" t="s">
        <v>1186</v>
      </c>
    </row>
    <row customHeight="1" ht="11.25">
      <c r="A56" s="1586" t="s">
        <v>1822</v>
      </c>
      <c r="D56" s="1630" t="s">
        <v>1823</v>
      </c>
      <c r="E56" s="1607" t="s">
        <v>1824</v>
      </c>
      <c r="F56" s="1586" t="s">
        <v>1825</v>
      </c>
      <c r="AX56" s="1632" t="s">
        <v>1826</v>
      </c>
      <c r="AZ56" s="1632" t="s">
        <v>1388</v>
      </c>
      <c r="BE56" s="1632">
        <v>2054</v>
      </c>
      <c r="BH56" s="1582" t="s">
        <v>28</v>
      </c>
      <c r="BJ56" s="1729" t="s">
        <v>1776</v>
      </c>
      <c r="BL56" s="1729" t="s">
        <v>1776</v>
      </c>
    </row>
    <row customHeight="1" ht="11.25">
      <c r="A57" s="1586" t="s">
        <v>1827</v>
      </c>
      <c r="D57" s="1630" t="s">
        <v>1828</v>
      </c>
      <c r="E57" s="1607" t="s">
        <v>121</v>
      </c>
      <c r="F57" s="1586" t="s">
        <v>1825</v>
      </c>
      <c r="AX57" s="1632" t="s">
        <v>1829</v>
      </c>
      <c r="AZ57" s="1632" t="s">
        <v>1423</v>
      </c>
      <c r="BE57" s="1632">
        <v>2055</v>
      </c>
      <c r="BJ57" s="1729" t="s">
        <v>1785</v>
      </c>
      <c r="BL57" s="1729" t="s">
        <v>1785</v>
      </c>
    </row>
    <row customHeight="1" ht="11.25">
      <c r="A58" s="1586" t="s">
        <v>1830</v>
      </c>
      <c r="D58" s="1630" t="s">
        <v>1831</v>
      </c>
      <c r="E58" s="1607" t="s">
        <v>121</v>
      </c>
      <c r="F58" s="1586" t="s">
        <v>1825</v>
      </c>
      <c r="AX58" s="1632" t="s">
        <v>1832</v>
      </c>
      <c r="BE58" s="1632">
        <v>2056</v>
      </c>
      <c r="BJ58" s="1729" t="s">
        <v>1788</v>
      </c>
      <c r="BL58" s="1729" t="s">
        <v>1788</v>
      </c>
    </row>
    <row customHeight="1" ht="11.25">
      <c r="A59" s="1586" t="s">
        <v>1833</v>
      </c>
      <c r="D59" s="1630" t="s">
        <v>197</v>
      </c>
      <c r="E59" s="1607" t="s">
        <v>1721</v>
      </c>
      <c r="F59" s="1586" t="s">
        <v>1834</v>
      </c>
      <c r="AX59" s="1632" t="s">
        <v>1835</v>
      </c>
      <c r="AZ59" s="1579" t="s">
        <v>1836</v>
      </c>
      <c r="BE59" s="1632">
        <v>2057</v>
      </c>
      <c r="BJ59" s="1729" t="s">
        <v>1792</v>
      </c>
      <c r="BL59" s="1729" t="s">
        <v>1792</v>
      </c>
    </row>
    <row customHeight="1" ht="11.25">
      <c r="A60" s="1586" t="s">
        <v>1837</v>
      </c>
      <c r="D60" s="1630" t="s">
        <v>1838</v>
      </c>
      <c r="E60" s="1607" t="s">
        <v>1721</v>
      </c>
      <c r="F60" s="1586" t="s">
        <v>1834</v>
      </c>
      <c r="AX60" s="1632" t="s">
        <v>1839</v>
      </c>
      <c r="AZ60" s="1632" t="s">
        <v>1362</v>
      </c>
      <c r="BE60" s="1632">
        <v>2058</v>
      </c>
      <c r="BJ60" s="1729" t="s">
        <v>1798</v>
      </c>
      <c r="BL60" s="1729" t="s">
        <v>1798</v>
      </c>
    </row>
    <row customHeight="1" ht="11.25">
      <c r="A61" s="1586" t="s">
        <v>1840</v>
      </c>
      <c r="D61" s="1630" t="s">
        <v>1841</v>
      </c>
      <c r="E61" s="1607" t="s">
        <v>1721</v>
      </c>
      <c r="F61" s="1586" t="s">
        <v>1834</v>
      </c>
      <c r="AX61" s="1632" t="s">
        <v>1842</v>
      </c>
      <c r="AZ61" s="1632" t="s">
        <v>1389</v>
      </c>
      <c r="BE61" s="1632">
        <v>2059</v>
      </c>
      <c r="BL61" s="1729" t="s">
        <v>1178</v>
      </c>
    </row>
    <row customHeight="1" ht="11.25">
      <c r="A62" s="1586" t="s">
        <v>1843</v>
      </c>
      <c r="D62" s="1630" t="s">
        <v>196</v>
      </c>
      <c r="E62" s="1607">
        <v>49</v>
      </c>
      <c r="F62" s="1586" t="s">
        <v>1834</v>
      </c>
      <c r="AZ62" s="1632" t="s">
        <v>1424</v>
      </c>
      <c r="BE62" s="1632">
        <v>2060</v>
      </c>
      <c r="BL62" s="1729" t="s">
        <v>1180</v>
      </c>
    </row>
    <row customHeight="1" ht="11.25">
      <c r="A63" s="1586" t="s">
        <v>1844</v>
      </c>
      <c r="D63" s="1630" t="s">
        <v>1845</v>
      </c>
      <c r="E63" s="1607">
        <v>61</v>
      </c>
      <c r="F63" s="1586" t="s">
        <v>1834</v>
      </c>
      <c r="AZ63" s="1632" t="s">
        <v>1455</v>
      </c>
      <c r="BE63" s="1632">
        <v>2061</v>
      </c>
    </row>
    <row customHeight="1" ht="11.25">
      <c r="A64" s="1586" t="s">
        <v>1846</v>
      </c>
      <c r="D64" s="1630" t="s">
        <v>1847</v>
      </c>
      <c r="E64" s="1607">
        <v>61</v>
      </c>
      <c r="F64" s="1586" t="s">
        <v>1834</v>
      </c>
      <c r="AZ64" s="1632" t="s">
        <v>1478</v>
      </c>
      <c r="BE64" s="1632">
        <v>2062</v>
      </c>
    </row>
    <row customHeight="1" ht="11.25">
      <c r="A65" s="1586" t="s">
        <v>1848</v>
      </c>
      <c r="D65" s="1586"/>
      <c r="BE65" s="1632">
        <v>2063</v>
      </c>
    </row>
    <row customHeight="1" ht="11.25">
      <c r="A66" s="1586" t="s">
        <v>1849</v>
      </c>
      <c r="AZ66" s="1579" t="s">
        <v>1850</v>
      </c>
      <c r="BE66" s="1632">
        <v>2064</v>
      </c>
    </row>
    <row customHeight="1" ht="11.25">
      <c r="A67" s="1586" t="s">
        <v>1851</v>
      </c>
      <c r="AZ67" s="1632" t="s">
        <v>1363</v>
      </c>
      <c r="BE67" s="1632">
        <v>2065</v>
      </c>
    </row>
    <row customHeight="1" ht="11.25">
      <c r="A68" s="1586" t="s">
        <v>1852</v>
      </c>
      <c r="AZ68" s="1632" t="s">
        <v>1390</v>
      </c>
      <c r="BE68" s="1632">
        <v>2066</v>
      </c>
      <c r="BH68" s="1579" t="s">
        <v>1853</v>
      </c>
      <c r="BJ68" s="1579" t="s">
        <v>1854</v>
      </c>
      <c r="BL68" s="1579" t="s">
        <v>1855</v>
      </c>
      <c r="BN68" s="1579" t="s">
        <v>1856</v>
      </c>
    </row>
    <row customHeight="1" ht="11.25">
      <c r="A69" s="1586" t="s">
        <v>1857</v>
      </c>
      <c r="AZ69" s="1632" t="s">
        <v>1425</v>
      </c>
      <c r="BE69" s="1632">
        <v>2067</v>
      </c>
      <c r="BH69" s="1580" t="s">
        <v>1858</v>
      </c>
      <c r="BI69" s="1629" t="s">
        <v>101</v>
      </c>
      <c r="BJ69" s="1580" t="s">
        <v>1859</v>
      </c>
      <c r="BK69" s="1629" t="s">
        <v>101</v>
      </c>
      <c r="BL69" s="1580" t="s">
        <v>1860</v>
      </c>
      <c r="BM69" s="1582" t="s">
        <v>101</v>
      </c>
      <c r="BN69" s="1580" t="s">
        <v>1861</v>
      </c>
    </row>
    <row customHeight="1" ht="11.25">
      <c r="A70" s="1586" t="s">
        <v>1862</v>
      </c>
      <c r="AZ70" s="1632" t="s">
        <v>1456</v>
      </c>
      <c r="BE70" s="1632">
        <v>2068</v>
      </c>
      <c r="BH70" s="1580" t="s">
        <v>1863</v>
      </c>
      <c r="BJ70" s="1580" t="s">
        <v>1864</v>
      </c>
      <c r="BL70" s="1580" t="s">
        <v>1865</v>
      </c>
      <c r="BN70" s="1580" t="s">
        <v>1866</v>
      </c>
    </row>
    <row customHeight="1" ht="11.25">
      <c r="A71" s="1586" t="s">
        <v>1867</v>
      </c>
      <c r="AZ71" s="1632" t="s">
        <v>1458</v>
      </c>
      <c r="BE71" s="1632">
        <v>2069</v>
      </c>
      <c r="BH71" s="1580" t="s">
        <v>1868</v>
      </c>
      <c r="BI71" s="1629" t="s">
        <v>92</v>
      </c>
      <c r="BJ71" s="1580" t="s">
        <v>1869</v>
      </c>
      <c r="BK71" s="1629" t="s">
        <v>92</v>
      </c>
      <c r="BL71" s="1580" t="s">
        <v>1870</v>
      </c>
      <c r="BM71" s="1582" t="s">
        <v>92</v>
      </c>
      <c r="BN71" s="1580" t="s">
        <v>1871</v>
      </c>
    </row>
    <row customHeight="1" ht="11.25">
      <c r="A72" s="1586" t="s">
        <v>1872</v>
      </c>
      <c r="AZ72" s="1632" t="s">
        <v>19</v>
      </c>
      <c r="BE72" s="1632">
        <v>2070</v>
      </c>
      <c r="BH72" s="1580" t="s">
        <v>1873</v>
      </c>
      <c r="BJ72" s="1580" t="s">
        <v>1873</v>
      </c>
      <c r="BL72" s="1580" t="s">
        <v>1873</v>
      </c>
      <c r="BN72" s="1580" t="s">
        <v>1874</v>
      </c>
    </row>
    <row customHeight="1" ht="11.25">
      <c r="A73" s="1586" t="s">
        <v>1875</v>
      </c>
      <c r="BH73" s="1580" t="s">
        <v>1876</v>
      </c>
      <c r="BI73" s="1629" t="s">
        <v>121</v>
      </c>
      <c r="BJ73" s="1580" t="s">
        <v>1877</v>
      </c>
      <c r="BK73" s="1629" t="s">
        <v>121</v>
      </c>
      <c r="BL73" s="1580" t="s">
        <v>1878</v>
      </c>
      <c r="BM73" s="1582" t="s">
        <v>121</v>
      </c>
      <c r="BN73" s="1580" t="s">
        <v>1879</v>
      </c>
    </row>
    <row customHeight="1" ht="11.25">
      <c r="A74" s="1586" t="s">
        <v>1880</v>
      </c>
      <c r="BH74" s="1580" t="s">
        <v>1881</v>
      </c>
      <c r="BJ74" s="1580" t="s">
        <v>1882</v>
      </c>
      <c r="BL74" s="1580" t="s">
        <v>1883</v>
      </c>
      <c r="BN74" s="1580" t="s">
        <v>1884</v>
      </c>
    </row>
    <row customHeight="1" ht="11.25">
      <c r="A75" s="1586" t="s">
        <v>1885</v>
      </c>
      <c r="AZ75" s="1579" t="s">
        <v>1886</v>
      </c>
      <c r="BH75" s="1580" t="s">
        <v>1887</v>
      </c>
      <c r="BJ75" s="1580" t="s">
        <v>1887</v>
      </c>
      <c r="BL75" s="1580" t="s">
        <v>1887</v>
      </c>
    </row>
    <row customHeight="1" ht="11.25">
      <c r="A76" s="1586" t="s">
        <v>1888</v>
      </c>
      <c r="AZ76" s="1632" t="s">
        <v>1372</v>
      </c>
      <c r="BH76" s="1580" t="s">
        <v>1889</v>
      </c>
      <c r="BJ76" s="1580" t="s">
        <v>1890</v>
      </c>
      <c r="BL76" s="1580" t="s">
        <v>1891</v>
      </c>
    </row>
    <row customHeight="1" ht="11.25">
      <c r="A77" s="1586" t="s">
        <v>1892</v>
      </c>
      <c r="AZ77" s="1632" t="s">
        <v>1400</v>
      </c>
    </row>
    <row customHeight="1" ht="11.25">
      <c r="A78" s="1586" t="s">
        <v>1893</v>
      </c>
      <c r="AZ78" s="1632" t="s">
        <v>1432</v>
      </c>
    </row>
    <row customHeight="1" ht="11.25">
      <c r="A79" s="1586" t="s">
        <v>1894</v>
      </c>
      <c r="AZ79" s="1632" t="s">
        <v>1462</v>
      </c>
      <c r="BH79" s="1579" t="s">
        <v>1895</v>
      </c>
      <c r="BJ79" s="1579" t="s">
        <v>1896</v>
      </c>
      <c r="BL79" s="1579" t="s">
        <v>1897</v>
      </c>
    </row>
    <row customHeight="1" ht="11.25">
      <c r="A80" s="1586" t="s">
        <v>1898</v>
      </c>
      <c r="AZ80" s="1632" t="s">
        <v>1483</v>
      </c>
      <c r="BH80" s="1580" t="s">
        <v>1899</v>
      </c>
      <c r="BJ80" s="1580" t="s">
        <v>1900</v>
      </c>
      <c r="BL80" s="1580" t="s">
        <v>1901</v>
      </c>
    </row>
    <row customHeight="1" ht="11.25">
      <c r="A81" s="1586" t="s">
        <v>1902</v>
      </c>
      <c r="AZ81" s="1632" t="s">
        <v>1500</v>
      </c>
      <c r="BH81" s="1580" t="s">
        <v>1903</v>
      </c>
      <c r="BJ81" s="1580" t="s">
        <v>1904</v>
      </c>
      <c r="BL81" s="1580" t="s">
        <v>1905</v>
      </c>
    </row>
    <row customHeight="1" ht="11.25">
      <c r="A82" s="1586" t="s">
        <v>1906</v>
      </c>
      <c r="AZ82" s="1632" t="s">
        <v>1515</v>
      </c>
      <c r="BH82" s="1580" t="s">
        <v>1907</v>
      </c>
      <c r="BJ82" s="1580" t="s">
        <v>1908</v>
      </c>
      <c r="BL82" s="1580" t="s">
        <v>1909</v>
      </c>
    </row>
    <row customHeight="1" ht="11.25">
      <c r="A83" s="1586" t="s">
        <v>1910</v>
      </c>
      <c r="BH83" s="1580" t="s">
        <v>1911</v>
      </c>
      <c r="BJ83" s="1580" t="s">
        <v>1912</v>
      </c>
      <c r="BL83" s="1580" t="s">
        <v>1913</v>
      </c>
    </row>
    <row customHeight="1" ht="11.25">
      <c r="A84" s="1586" t="s">
        <v>1914</v>
      </c>
      <c r="AZ84" s="1579" t="s">
        <v>1915</v>
      </c>
    </row>
    <row customHeight="1" ht="11.25">
      <c r="A85" s="2382" t="s">
        <v>1916</v>
      </c>
      <c r="AZ85" s="1632" t="s">
        <v>1917</v>
      </c>
    </row>
    <row customHeight="1" ht="11.25">
      <c r="A86" s="1586" t="s">
        <v>1918</v>
      </c>
      <c r="AZ86" s="1632" t="s">
        <v>1919</v>
      </c>
      <c r="BH86" s="1579" t="s">
        <v>1920</v>
      </c>
      <c r="BJ86" s="1579" t="s">
        <v>1921</v>
      </c>
      <c r="BL86" s="1579" t="s">
        <v>1922</v>
      </c>
    </row>
    <row customHeight="1" ht="11.25">
      <c r="A87" s="1586" t="s">
        <v>1923</v>
      </c>
      <c r="AZ87" s="1632" t="s">
        <v>1924</v>
      </c>
      <c r="BH87" s="1580" t="s">
        <v>1925</v>
      </c>
      <c r="BJ87" s="1580" t="s">
        <v>1926</v>
      </c>
      <c r="BL87" s="1580" t="s">
        <v>1927</v>
      </c>
    </row>
    <row customHeight="1" ht="11.25">
      <c r="A88" s="1586" t="s">
        <v>1928</v>
      </c>
      <c r="AZ88" s="2118"/>
      <c r="BH88" s="1580" t="s">
        <v>1929</v>
      </c>
      <c r="BJ88" s="1580" t="s">
        <v>1930</v>
      </c>
      <c r="BL88" s="1580" t="s">
        <v>1931</v>
      </c>
    </row>
    <row customHeight="1" ht="11.25">
      <c r="A89" s="1586" t="s">
        <v>1932</v>
      </c>
      <c r="AZ89" s="1579" t="s">
        <v>1933</v>
      </c>
    </row>
    <row customHeight="1" ht="11.25">
      <c r="A90" s="1586" t="s">
        <v>1934</v>
      </c>
      <c r="AZ90" s="1632" t="s">
        <v>1156</v>
      </c>
    </row>
    <row customHeight="1" ht="11.25">
      <c r="A91" s="1586" t="s">
        <v>1935</v>
      </c>
      <c r="AZ91" s="1632" t="s">
        <v>1192</v>
      </c>
      <c r="BH91" s="1579" t="s">
        <v>1936</v>
      </c>
      <c r="BJ91" s="1579" t="s">
        <v>1937</v>
      </c>
      <c r="BL91" s="1579" t="s">
        <v>1938</v>
      </c>
    </row>
    <row customHeight="1" ht="11.25">
      <c r="AZ92" s="1632" t="s">
        <v>1939</v>
      </c>
      <c r="BH92" s="1580" t="s">
        <v>1940</v>
      </c>
      <c r="BJ92" s="1580" t="s">
        <v>1941</v>
      </c>
      <c r="BL92" s="1580" t="s">
        <v>1942</v>
      </c>
    </row>
    <row customHeight="1" ht="11.25">
      <c r="AZ93" s="1632" t="s">
        <v>1943</v>
      </c>
      <c r="BH93" s="1580" t="s">
        <v>1944</v>
      </c>
      <c r="BJ93" s="1580" t="s">
        <v>1945</v>
      </c>
      <c r="BL93" s="1580" t="s">
        <v>1946</v>
      </c>
    </row>
    <row customHeight="1" ht="11.25">
      <c r="AZ94" s="1632" t="s">
        <v>1947</v>
      </c>
    </row>
    <row r="96" customHeight="1" ht="11.25">
      <c r="AZ96" s="1579" t="s">
        <v>1948</v>
      </c>
      <c r="BH96" s="1579" t="s">
        <v>1949</v>
      </c>
      <c r="BJ96" s="1579" t="s">
        <v>1950</v>
      </c>
      <c r="BL96" s="1579" t="s">
        <v>1951</v>
      </c>
      <c r="BN96" s="1579" t="s">
        <v>1952</v>
      </c>
    </row>
    <row customHeight="1" ht="11.25">
      <c r="AZ97" s="2413" t="s">
        <v>1953</v>
      </c>
      <c r="BA97" s="2414" t="s">
        <v>1954</v>
      </c>
      <c r="BH97" s="1580" t="s">
        <v>1955</v>
      </c>
      <c r="BJ97" s="1580" t="s">
        <v>1956</v>
      </c>
      <c r="BL97" s="1580" t="s">
        <v>1957</v>
      </c>
      <c r="BN97" s="1580" t="s">
        <v>1958</v>
      </c>
    </row>
    <row customHeight="1" ht="11.25">
      <c r="AZ98" s="2413" t="s">
        <v>1959</v>
      </c>
      <c r="BA98" s="2414" t="s">
        <v>1960</v>
      </c>
      <c r="BH98" s="1580" t="s">
        <v>1961</v>
      </c>
      <c r="BJ98" s="1580" t="s">
        <v>1962</v>
      </c>
      <c r="BL98" s="1580" t="s">
        <v>1963</v>
      </c>
      <c r="BN98" s="1580" t="s">
        <v>1964</v>
      </c>
    </row>
    <row customHeight="1" ht="22.5">
      <c r="AZ99" s="2413" t="s">
        <v>1965</v>
      </c>
      <c r="BA99" s="24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80" t="s">
        <v>1966</v>
      </c>
      <c r="BJ99" s="1580" t="s">
        <v>1967</v>
      </c>
      <c r="BL99" s="1580" t="s">
        <v>1968</v>
      </c>
      <c r="BN99" s="1580" t="s">
        <v>1969</v>
      </c>
    </row>
    <row customHeight="1" ht="22.5">
      <c r="AZ100" s="2413" t="s">
        <v>1970</v>
      </c>
      <c r="BA100"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580" t="s">
        <v>1561</v>
      </c>
      <c r="BL100" s="1580" t="s">
        <v>1561</v>
      </c>
      <c r="BN100" s="1580" t="s">
        <v>1971</v>
      </c>
    </row>
    <row customHeight="1" ht="22.5">
      <c r="AZ101" s="2413" t="s">
        <v>1972</v>
      </c>
      <c r="BA101" s="2414" t="s">
        <v>1973</v>
      </c>
      <c r="BN101" s="1580" t="s">
        <v>1974</v>
      </c>
    </row>
    <row customHeight="1" ht="22.5">
      <c r="AZ102" s="2413" t="s">
        <v>1975</v>
      </c>
      <c r="BA102"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580" t="s">
        <v>1976</v>
      </c>
    </row>
    <row customHeight="1" ht="11.25">
      <c r="AZ103" s="2413" t="s">
        <v>1977</v>
      </c>
      <c r="BA103" s="2414" t="s">
        <v>1978</v>
      </c>
      <c r="BN103" s="1580" t="s">
        <v>1979</v>
      </c>
    </row>
    <row customHeight="1" ht="11.25">
      <c r="BN104" s="1580" t="s">
        <v>1980</v>
      </c>
    </row>
    <row customHeight="1" ht="11.25">
      <c r="AZ105" s="2204" t="s">
        <v>1981</v>
      </c>
    </row>
    <row customHeight="1" ht="11.25">
      <c r="AZ106" s="1632" t="s">
        <v>1982</v>
      </c>
    </row>
    <row customHeight="1" ht="11.25">
      <c r="AZ107" s="1632" t="s">
        <v>1983</v>
      </c>
      <c r="BH107" s="1579" t="s">
        <v>1984</v>
      </c>
      <c r="BJ107" s="1579" t="s">
        <v>1985</v>
      </c>
      <c r="BL107" s="1579" t="s">
        <v>1986</v>
      </c>
      <c r="BN107" s="1579" t="s">
        <v>1987</v>
      </c>
    </row>
    <row customHeight="1" ht="11.25">
      <c r="AZ108" s="1632" t="s">
        <v>709</v>
      </c>
      <c r="BH108" s="1580" t="s">
        <v>1988</v>
      </c>
      <c r="BJ108" s="1580" t="s">
        <v>1989</v>
      </c>
      <c r="BL108" s="1580" t="s">
        <v>1645</v>
      </c>
      <c r="BN108" s="1580" t="s">
        <v>1990</v>
      </c>
    </row>
    <row customHeight="1" ht="11.25">
      <c r="BH109" s="1580" t="s">
        <v>1991</v>
      </c>
    </row>
    <row customHeight="1" ht="11.25">
      <c r="AZ110" s="2204" t="s">
        <v>1992</v>
      </c>
      <c r="BH110" s="1580" t="s">
        <v>1991</v>
      </c>
    </row>
    <row customHeight="1" ht="11.25">
      <c r="AZ111" s="2413" t="s">
        <v>1953</v>
      </c>
      <c r="BA111" s="2414" t="s">
        <v>1954</v>
      </c>
    </row>
    <row customHeight="1" ht="11.25">
      <c r="AZ112" s="2413" t="s">
        <v>1959</v>
      </c>
      <c r="BA112" s="2414" t="s">
        <v>1960</v>
      </c>
    </row>
    <row customHeight="1" ht="22.5">
      <c r="AZ113" s="2413" t="s">
        <v>1965</v>
      </c>
      <c r="BA113" s="241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3" t="s">
        <v>1970</v>
      </c>
      <c r="BA114"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579" t="s">
        <v>1993</v>
      </c>
    </row>
    <row customHeight="1" ht="22.5">
      <c r="AZ115" s="2413" t="s">
        <v>1975</v>
      </c>
      <c r="BA115"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580" t="s">
        <v>1359</v>
      </c>
    </row>
    <row customHeight="1" ht="11.25">
      <c r="AZ116" s="2413" t="s">
        <v>1977</v>
      </c>
      <c r="BA116" s="2414" t="s">
        <v>1978</v>
      </c>
      <c r="BH116" s="1580" t="s">
        <v>1386</v>
      </c>
    </row>
    <row customHeight="1" ht="11.25">
      <c r="BH117" s="1580" t="s">
        <v>1421</v>
      </c>
    </row>
    <row customHeight="1" ht="11.25">
      <c r="BH118" s="1580" t="s">
        <v>1454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EC7293-FDDE-0CE4-2761-0D13F11C74DB}" mc:Ignorable="x14ac xr xr2 xr3">
  <dimension ref="A1:J25"/>
  <sheetViews>
    <sheetView topLeftCell="A1" showGridLines="0" zoomScale="90" workbookViewId="0">
      <selection activeCell="A1" sqref="A1"/>
    </sheetView>
  </sheetViews>
  <sheetFormatPr defaultColWidth="9.140625" customHeight="1" defaultRowHeight="11.25"/>
  <cols>
    <col min="1" max="2" style="51476" width="15.00390625" hidden="1" customWidth="1"/>
    <col min="3" max="3" style="51520" width="3.00390625" customWidth="1"/>
    <col min="4" max="4" style="51521" width="6.00390625" customWidth="1"/>
    <col min="5" max="5" style="51520" width="52.00390625" customWidth="1"/>
    <col min="6" max="6" style="51520" width="48.00390625" customWidth="1"/>
    <col min="7" max="7" style="51520" width="93.00390625" customWidth="1"/>
    <col min="8" max="8" style="51520" width="8.00390625" customWidth="1"/>
    <col min="9" max="9" style="51520" width="64.00390625" customWidth="1"/>
    <col min="10" max="10" style="51520" width="9.140625" hidden="1"/>
  </cols>
  <sheetData>
    <row customHeight="1" ht="11.25" hidden="1">
      <c r="A1" s="1013" t="s">
        <v>438</v>
      </c>
      <c r="J1" s="967" t="s">
        <v>14</v>
      </c>
    </row>
    <row customHeight="1" ht="22.5" hidden="1">
      <c r="A2" s="1014"/>
      <c r="B2" s="1014"/>
      <c r="C2" s="2242" t="s">
        <v>106</v>
      </c>
      <c r="D2" s="2032"/>
      <c r="E2" s="2038"/>
      <c r="F2" s="2061"/>
      <c r="H2" s="987"/>
      <c r="J2" s="967">
        <v>0</v>
      </c>
    </row>
    <row customHeight="1" ht="11.25" hidden="1">
      <c r="J3" s="967">
        <v>0</v>
      </c>
    </row>
    <row customHeight="1" ht="11.549999999999999">
      <c r="A4" s="2062"/>
      <c r="B4" s="2062"/>
      <c r="J4" s="967">
        <v>11</v>
      </c>
    </row>
    <row customHeight="1" ht="27.299999999999997">
      <c r="D5" s="27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51"/>
      <c r="F5" s="2752"/>
      <c r="I5" s="1227"/>
      <c r="J5" s="967">
        <v>26</v>
      </c>
    </row>
    <row customHeight="1" ht="18">
      <c r="D6" s="2688" t="str">
        <f>IF(region_name=0,"Не определено",region_name)</f>
        <v>Приморский край</v>
      </c>
      <c r="E6" s="2688"/>
      <c r="F6" s="2688"/>
      <c r="I6" s="1227"/>
      <c r="J6" s="967">
        <v>17</v>
      </c>
    </row>
    <row s="51434" customFormat="1" customHeight="1" ht="11.549999999999999">
      <c r="A7" s="1013"/>
      <c r="B7" s="1013"/>
      <c r="D7" s="1226"/>
      <c r="E7" s="1226"/>
      <c r="F7" s="1264"/>
      <c r="G7" s="1226"/>
      <c r="J7" s="989">
        <v>11</v>
      </c>
    </row>
    <row customHeight="1" ht="11.25" hidden="1">
      <c r="A8" s="1014"/>
      <c r="B8" s="1014"/>
      <c r="C8" s="969"/>
      <c r="D8" s="975"/>
      <c r="E8" s="2719"/>
      <c r="F8" s="2719"/>
      <c r="J8" s="967">
        <v>0</v>
      </c>
    </row>
    <row customHeight="1" ht="11.549999999999999">
      <c r="A9" s="1014"/>
      <c r="B9" s="1014"/>
      <c r="C9" s="969"/>
      <c r="D9" s="2716" t="s">
        <v>439</v>
      </c>
      <c r="E9" s="2717"/>
      <c r="F9" s="2717"/>
      <c r="G9" s="2720" t="s">
        <v>440</v>
      </c>
      <c r="J9" s="967">
        <v>11</v>
      </c>
    </row>
    <row customHeight="1" ht="11.549999999999999">
      <c r="A10" s="1014"/>
      <c r="B10" s="1014"/>
      <c r="C10" s="969"/>
      <c r="D10" s="1986" t="s">
        <v>90</v>
      </c>
      <c r="E10" s="1988" t="s">
        <v>441</v>
      </c>
      <c r="F10" s="1988" t="s">
        <v>442</v>
      </c>
      <c r="G10" s="2721"/>
      <c r="J10" s="967">
        <v>11</v>
      </c>
    </row>
    <row customHeight="1" ht="1.05">
      <c r="A11" s="1014"/>
      <c r="B11" s="1014"/>
      <c r="C11" s="969"/>
      <c r="D11" s="976"/>
      <c r="E11" s="976"/>
      <c r="F11" s="976"/>
      <c r="G11" s="976"/>
      <c r="J11" s="967">
        <v>1</v>
      </c>
    </row>
    <row customHeight="1" ht="24">
      <c r="A12" s="1014"/>
      <c r="B12" s="1014"/>
      <c r="C12" s="969"/>
      <c r="D12" s="2032">
        <v>1</v>
      </c>
      <c r="E12" s="9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420" t="str">
        <f>IF(org="","",org)</f>
        <v>КГУП "Примтеплоэнерго"</v>
      </c>
      <c r="G12" s="9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045"/>
      <c r="J12" s="967">
        <v>23</v>
      </c>
    </row>
    <row customHeight="1" ht="19.95">
      <c r="A13" s="1014"/>
      <c r="B13" s="1014"/>
      <c r="C13" s="969"/>
      <c r="D13" s="2032">
        <v>2</v>
      </c>
      <c r="E13" s="2039" t="s">
        <v>1994</v>
      </c>
      <c r="F13" s="2033" t="s">
        <v>445</v>
      </c>
      <c r="G13" s="986"/>
      <c r="H13" s="2045"/>
      <c r="J13" s="967">
        <v>19</v>
      </c>
    </row>
    <row customHeight="1" ht="19.95">
      <c r="A14" s="1014"/>
      <c r="B14" s="1014"/>
      <c r="C14" s="969"/>
      <c r="D14" s="2035" t="s">
        <v>846</v>
      </c>
      <c r="E14" s="2036" t="s">
        <v>1995</v>
      </c>
      <c r="F14" s="2038"/>
      <c r="G14" s="2037" t="s">
        <v>1996</v>
      </c>
      <c r="H14" s="2045"/>
      <c r="J14" s="967">
        <v>19</v>
      </c>
    </row>
    <row customHeight="1" ht="19.95">
      <c r="A15" s="1014"/>
      <c r="B15" s="1014"/>
      <c r="C15" s="969"/>
      <c r="D15" s="2035" t="s">
        <v>446</v>
      </c>
      <c r="E15" s="2036" t="s">
        <v>1997</v>
      </c>
      <c r="F15" s="2038"/>
      <c r="G15" s="2037" t="s">
        <v>1998</v>
      </c>
      <c r="H15" s="2045"/>
      <c r="J15" s="967">
        <v>19</v>
      </c>
    </row>
    <row customHeight="1" ht="24">
      <c r="A16" s="1014"/>
      <c r="B16" s="1014"/>
      <c r="C16" s="969"/>
      <c r="D16" s="2035" t="s">
        <v>449</v>
      </c>
      <c r="E16" s="2034" t="s">
        <v>1999</v>
      </c>
      <c r="F16" s="2043"/>
      <c r="G16" s="986" t="s">
        <v>2000</v>
      </c>
      <c r="H16" s="2045"/>
      <c r="J16" s="967">
        <v>23</v>
      </c>
    </row>
    <row customHeight="1" ht="48.29999999999999">
      <c r="A17" s="1014"/>
      <c r="B17" s="1014"/>
      <c r="C17" s="969"/>
      <c r="D17" s="2032">
        <v>3</v>
      </c>
      <c r="E17" s="2039" t="s">
        <v>2001</v>
      </c>
      <c r="F17" s="2038"/>
      <c r="G17" s="986" t="s">
        <v>2002</v>
      </c>
      <c r="H17" s="2045"/>
      <c r="J17" s="967">
        <v>46</v>
      </c>
    </row>
    <row customHeight="1" ht="48.29999999999999">
      <c r="A18" s="1987">
        <v>1</v>
      </c>
      <c r="B18" s="1014"/>
      <c r="C18" s="1989"/>
      <c r="D18" s="2032" t="s">
        <v>93</v>
      </c>
      <c r="E18" s="2039" t="s">
        <v>2003</v>
      </c>
      <c r="F18" s="2038"/>
      <c r="G18" s="986" t="s">
        <v>2002</v>
      </c>
      <c r="H18" s="2045"/>
      <c r="I18" s="1364"/>
      <c r="J18" s="967">
        <v>46</v>
      </c>
    </row>
    <row customHeight="1" ht="23.25">
      <c r="A19" s="1014"/>
      <c r="B19" s="1014"/>
      <c r="C19" s="969"/>
      <c r="D19" s="2032" t="s">
        <v>121</v>
      </c>
      <c r="E19" s="2039" t="s">
        <v>2004</v>
      </c>
      <c r="F19" s="2033" t="s">
        <v>445</v>
      </c>
      <c r="G19" s="2983" t="s">
        <v>2005</v>
      </c>
      <c r="H19" s="987"/>
      <c r="J19" s="967">
        <v>22</v>
      </c>
    </row>
    <row s="61035" customFormat="1" customHeight="1" ht="5.25" hidden="1">
      <c r="A20" s="1014"/>
      <c r="B20" s="1014"/>
      <c r="C20" s="2041"/>
      <c r="D20" s="2040" t="s">
        <v>1253</v>
      </c>
      <c r="E20" s="1526"/>
      <c r="F20" s="1525"/>
      <c r="G20" s="2984"/>
      <c r="J20" s="2042">
        <v>0</v>
      </c>
    </row>
    <row customHeight="1" ht="15.75">
      <c r="A21" s="1014"/>
      <c r="B21" s="1014"/>
      <c r="C21" s="969"/>
      <c r="D21" s="979"/>
      <c r="E21" s="927" t="s">
        <v>478</v>
      </c>
      <c r="F21" s="981"/>
      <c r="G21" s="2985"/>
      <c r="H21" s="2045"/>
      <c r="J21" s="967">
        <v>15</v>
      </c>
    </row>
    <row s="51476" customFormat="1" customHeight="1" ht="26.25">
      <c r="A22" s="1014"/>
      <c r="B22" s="1014"/>
      <c r="C22" s="1014"/>
      <c r="D22" s="2032" t="s">
        <v>94</v>
      </c>
      <c r="E22" s="986" t="s">
        <v>2006</v>
      </c>
      <c r="F22" s="2038"/>
      <c r="G22" s="986" t="s">
        <v>2007</v>
      </c>
      <c r="H22" s="2044"/>
      <c r="J22" s="1013">
        <v>25</v>
      </c>
    </row>
    <row s="51476" customFormat="1" customHeight="1" ht="19.95">
      <c r="A23" s="1014"/>
      <c r="B23" s="1014"/>
      <c r="C23" s="1014"/>
      <c r="D23" s="2032" t="s">
        <v>95</v>
      </c>
      <c r="E23" s="2039" t="s">
        <v>2008</v>
      </c>
      <c r="F23" s="2043"/>
      <c r="G23" s="986" t="s">
        <v>2009</v>
      </c>
      <c r="H23" s="2044"/>
      <c r="J23" s="1013">
        <v>19</v>
      </c>
    </row>
    <row s="51476" customFormat="1" customHeight="1" ht="144" hidden="1">
      <c r="A24" s="1014"/>
      <c r="B24" s="1014"/>
      <c r="C24" s="1014"/>
      <c r="D24" s="2032" t="s">
        <v>135</v>
      </c>
      <c r="E24" s="24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410"/>
      <c r="G24" s="24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044"/>
      <c r="J24" s="1013">
        <v>0</v>
      </c>
    </row>
    <row customHeight="1" ht="11.25" hidden="1">
      <c r="A25" s="1013" t="s">
        <v>84</v>
      </c>
      <c r="B25" s="1013">
        <v>0</v>
      </c>
      <c r="C25" s="967">
        <v>3</v>
      </c>
      <c r="D25" s="968">
        <v>6</v>
      </c>
      <c r="E25" s="967">
        <v>52</v>
      </c>
      <c r="F25" s="967">
        <v>48</v>
      </c>
      <c r="G25" s="967">
        <v>93</v>
      </c>
      <c r="H25" s="967">
        <v>8</v>
      </c>
      <c r="I25" s="967">
        <v>64</v>
      </c>
      <c r="J25" s="96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9C9DB6-AAB4-E47F-6307-E4920895C12C}" mc:Ignorable="x14ac xr xr2 xr3">
  <dimension ref="A1:IU24"/>
  <sheetViews>
    <sheetView topLeftCell="A1" showGridLines="0" zoomScale="90" workbookViewId="0">
      <selection activeCell="A1" sqref="A1"/>
    </sheetView>
  </sheetViews>
  <sheetFormatPr defaultColWidth="9.140625" customHeight="1" defaultRowHeight="14.25"/>
  <cols>
    <col min="1" max="1" style="50801" width="9.140625" hidden="1"/>
    <col min="2" max="2" style="50881" width="9.140625" hidden="1"/>
    <col min="3" max="3" style="50801" width="3.7109375" hidden="1" customWidth="1"/>
    <col min="4" max="4" style="50980" width="3.00390625" customWidth="1"/>
    <col min="5" max="5" style="50801" width="6.00390625" customWidth="1"/>
    <col min="6" max="6" style="50801" width="46.00390625" customWidth="1"/>
    <col min="7" max="8" style="50801" width="16.00390625" customWidth="1"/>
    <col min="9" max="9" style="50801" width="35.00390625" customWidth="1"/>
    <col min="10" max="10" style="50801" width="89.00390625" customWidth="1"/>
    <col min="11" max="11" style="50981" width="3.00390625" customWidth="1"/>
    <col min="12" max="14" style="50981" width="8.00390625" customWidth="1"/>
    <col min="15" max="15" style="50981" width="25.00390625" customWidth="1"/>
    <col min="16" max="16" style="50981" width="14.00390625" customWidth="1"/>
    <col min="17" max="20" style="50982" width="8.00390625" customWidth="1"/>
    <col min="21" max="254" style="50801" width="8.00390625" customWidth="1"/>
    <col min="255" max="255" style="50801" width="9.140625" hidden="1"/>
  </cols>
  <sheetData>
    <row customHeight="1" ht="22.5" hidden="1">
      <c r="F1" s="2143" t="s">
        <v>2010</v>
      </c>
      <c r="G1" s="2143" t="s">
        <v>51</v>
      </c>
      <c r="H1" s="2143" t="s">
        <v>53</v>
      </c>
      <c r="IU1" s="1667" t="s">
        <v>14</v>
      </c>
    </row>
    <row s="50942" customFormat="1" customHeight="1" ht="22.5" hidden="1">
      <c r="A2" s="1343"/>
      <c r="B2" s="1672">
        <v>1</v>
      </c>
      <c r="C2" s="1672"/>
      <c r="D2" s="2440" t="s">
        <v>106</v>
      </c>
      <c r="E2" s="1996"/>
      <c r="F2" s="2003"/>
      <c r="G2" s="2003"/>
      <c r="H2" s="2003"/>
      <c r="I2" s="2496"/>
      <c r="J2" s="2497"/>
      <c r="K2" s="2047"/>
      <c r="L2" s="1023"/>
      <c r="M2" s="1023"/>
      <c r="N2" s="1012" t="str">
        <f t="array" ref="N2:N2">IF(ISERROR(MATCH(MID(O2,1,250),MID(note_ter,1,250),0)),"n","y")</f>
        <v>n</v>
      </c>
      <c r="O2" s="1023"/>
      <c r="P2" s="1012" t="str">
        <f>G2&amp;"("&amp;J2&amp;")"</f>
        <v>()</v>
      </c>
      <c r="Q2" s="1672"/>
      <c r="R2" s="1672"/>
      <c r="S2" s="932"/>
      <c r="T2" s="1672"/>
      <c r="U2" s="1672"/>
      <c r="V2" s="1672"/>
      <c r="W2" s="934"/>
      <c r="X2" s="934"/>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4"/>
      <c r="BU2" s="934"/>
      <c r="BV2" s="934"/>
      <c r="BW2" s="934"/>
      <c r="BX2" s="934"/>
      <c r="BY2" s="934"/>
      <c r="BZ2" s="934"/>
      <c r="CA2" s="934"/>
      <c r="CB2" s="934"/>
      <c r="CC2" s="934"/>
      <c r="IU2" s="935">
        <v>0</v>
      </c>
    </row>
    <row s="50882" customFormat="1" customHeight="1" ht="4.2">
      <c r="A3" s="1008"/>
      <c r="D3" s="1006"/>
      <c r="F3" s="759" t="s">
        <v>85</v>
      </c>
      <c r="G3" s="1006" t="s">
        <v>86</v>
      </c>
      <c r="H3" s="1006"/>
      <c r="I3" s="1006"/>
      <c r="J3" s="739" t="s">
        <v>87</v>
      </c>
      <c r="K3" s="759" t="s">
        <v>85</v>
      </c>
      <c r="L3" s="759"/>
      <c r="M3" s="759"/>
      <c r="N3" s="759"/>
      <c r="O3" s="760"/>
      <c r="P3" s="759"/>
      <c r="Q3" s="759"/>
      <c r="R3" s="759"/>
      <c r="S3" s="759"/>
      <c r="T3" s="75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1023">
        <v>4</v>
      </c>
    </row>
    <row s="50897" customFormat="1" customHeight="1" ht="14.699999999999998">
      <c r="A4" s="1667"/>
      <c r="B4" s="1672"/>
      <c r="C4" s="1667"/>
      <c r="D4" s="2007"/>
      <c r="E4" s="1021"/>
      <c r="F4" s="2154"/>
      <c r="G4" s="1021"/>
      <c r="H4" s="1021"/>
      <c r="I4" s="1021"/>
      <c r="J4" s="678"/>
      <c r="K4" s="759"/>
      <c r="L4" s="1012"/>
      <c r="M4" s="1012"/>
      <c r="N4" s="1012"/>
      <c r="O4" s="738"/>
      <c r="P4" s="1012"/>
      <c r="Q4" s="737"/>
      <c r="R4" s="737"/>
      <c r="S4" s="737"/>
      <c r="T4" s="737"/>
      <c r="IU4" s="1019">
        <v>14</v>
      </c>
    </row>
    <row s="50897" customFormat="1" customHeight="1" ht="27.299999999999997">
      <c r="A5" s="1667"/>
      <c r="B5" s="1672"/>
      <c r="C5" s="1667"/>
      <c r="D5" s="2007"/>
      <c r="E5" s="26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12"/>
      <c r="G5" s="2612"/>
      <c r="H5" s="2612"/>
      <c r="I5" s="2612"/>
      <c r="J5" s="2612"/>
      <c r="K5" s="759"/>
      <c r="L5" s="1012"/>
      <c r="M5" s="1012"/>
      <c r="N5" s="1012"/>
      <c r="O5" s="738"/>
      <c r="P5" s="1012"/>
      <c r="Q5" s="737"/>
      <c r="R5" s="737"/>
      <c r="S5" s="737"/>
      <c r="T5" s="737"/>
      <c r="IU5" s="1019">
        <v>26</v>
      </c>
    </row>
    <row s="50897" customFormat="1" customHeight="1" ht="14.699999999999998">
      <c r="A6" s="1667"/>
      <c r="B6" s="1672"/>
      <c r="C6" s="1667"/>
      <c r="D6" s="2007"/>
      <c r="E6" s="1021"/>
      <c r="F6" s="679"/>
      <c r="G6" s="679"/>
      <c r="H6" s="679"/>
      <c r="I6" s="679"/>
      <c r="J6" s="680"/>
      <c r="K6" s="1012"/>
      <c r="L6" s="1012"/>
      <c r="M6" s="1012"/>
      <c r="N6" s="1012"/>
      <c r="O6" s="738"/>
      <c r="P6" s="1012"/>
      <c r="Q6" s="737"/>
      <c r="R6" s="737"/>
      <c r="S6" s="737"/>
      <c r="T6" s="737"/>
      <c r="IU6" s="1019">
        <v>14</v>
      </c>
    </row>
    <row s="50897" customFormat="1" customHeight="1" ht="14.699999999999998">
      <c r="A7" s="1667"/>
      <c r="B7" s="1672"/>
      <c r="C7" s="1667"/>
      <c r="D7" s="2007"/>
      <c r="E7" s="2613" t="s">
        <v>439</v>
      </c>
      <c r="F7" s="2614"/>
      <c r="G7" s="2614"/>
      <c r="H7" s="2614"/>
      <c r="I7" s="2614"/>
      <c r="J7" s="2986" t="s">
        <v>440</v>
      </c>
      <c r="K7" s="1012"/>
      <c r="L7" s="1012"/>
      <c r="M7" s="1012"/>
      <c r="N7" s="1012"/>
      <c r="O7" s="738"/>
      <c r="P7" s="1012"/>
      <c r="Q7" s="737"/>
      <c r="R7" s="737"/>
      <c r="S7" s="737"/>
      <c r="T7" s="737"/>
      <c r="IU7" s="1019">
        <v>14</v>
      </c>
    </row>
    <row s="50897" customFormat="1" customHeight="1" ht="21">
      <c r="A8" s="1667"/>
      <c r="B8" s="1672"/>
      <c r="C8" s="1667"/>
      <c r="D8" s="2007"/>
      <c r="E8" s="2060" t="s">
        <v>90</v>
      </c>
      <c r="F8" s="2052" t="s">
        <v>2010</v>
      </c>
      <c r="G8" s="2052" t="s">
        <v>51</v>
      </c>
      <c r="H8" s="2052" t="s">
        <v>53</v>
      </c>
      <c r="I8" s="2052" t="s">
        <v>2011</v>
      </c>
      <c r="J8" s="2987"/>
      <c r="K8" s="1012"/>
      <c r="L8" s="1012"/>
      <c r="M8" s="1012"/>
      <c r="N8" s="1012"/>
      <c r="O8" s="738"/>
      <c r="P8" s="1012"/>
      <c r="Q8" s="737"/>
      <c r="R8" s="737"/>
      <c r="S8" s="737"/>
      <c r="T8" s="737"/>
      <c r="IU8" s="1019">
        <v>20</v>
      </c>
    </row>
    <row s="50942" customFormat="1" customHeight="1" ht="23.25">
      <c r="A9" s="2143"/>
      <c r="B9" s="1672">
        <v>1</v>
      </c>
      <c r="C9" s="1672"/>
      <c r="D9" s="1313"/>
      <c r="E9" s="1996">
        <v>1</v>
      </c>
      <c r="F9" s="2059"/>
      <c r="G9" s="2003"/>
      <c r="H9" s="2003"/>
      <c r="I9" s="2050"/>
      <c r="J9" s="26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7"/>
      <c r="L9" s="1023"/>
      <c r="M9" s="1023"/>
      <c r="N9" s="1012" t="str">
        <f t="array" ref="N9:N9">IF(ISERROR(MATCH(MID(O9,1,250),MID(note_ter,1,250),0)),"n","y")</f>
        <v>n</v>
      </c>
      <c r="O9" s="1023"/>
      <c r="P9" s="10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72"/>
      <c r="R9" s="1672"/>
      <c r="S9" s="932"/>
      <c r="T9" s="1672"/>
      <c r="U9" s="1672"/>
      <c r="V9" s="1672"/>
      <c r="W9" s="934"/>
      <c r="X9" s="934"/>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4"/>
      <c r="BU9" s="934"/>
      <c r="BV9" s="934"/>
      <c r="BW9" s="934"/>
      <c r="BX9" s="934"/>
      <c r="BY9" s="934"/>
      <c r="BZ9" s="934"/>
      <c r="CA9" s="934"/>
      <c r="CB9" s="934"/>
      <c r="CC9" s="934"/>
      <c r="IU9" s="935">
        <v>22</v>
      </c>
    </row>
    <row s="50942" customFormat="1" customHeight="1" ht="15.75">
      <c r="A10" s="2143"/>
      <c r="B10" s="1672"/>
      <c r="C10" s="924"/>
      <c r="D10" s="1313"/>
      <c r="E10" s="2053"/>
      <c r="F10" s="2012" t="s">
        <v>2012</v>
      </c>
      <c r="G10" s="2054"/>
      <c r="H10" s="2054"/>
      <c r="I10" s="2411"/>
      <c r="J10" s="2683"/>
      <c r="K10" s="2048"/>
      <c r="L10" s="1023"/>
      <c r="M10" s="1023"/>
      <c r="N10" s="1023"/>
      <c r="O10" s="1012"/>
      <c r="P10" s="1023"/>
      <c r="Q10" s="1672"/>
      <c r="R10" s="1672"/>
      <c r="S10" s="932"/>
      <c r="T10" s="1672"/>
      <c r="U10" s="1672"/>
      <c r="V10" s="1672"/>
      <c r="W10" s="934"/>
      <c r="X10" s="934"/>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4"/>
      <c r="BU10" s="934"/>
      <c r="BV10" s="934"/>
      <c r="BW10" s="934"/>
      <c r="BX10" s="934"/>
      <c r="BY10" s="934"/>
      <c r="BZ10" s="934"/>
      <c r="CA10" s="934"/>
      <c r="CB10" s="934"/>
      <c r="CC10" s="934"/>
      <c r="IU10" s="935">
        <v>15</v>
      </c>
    </row>
    <row s="50897" customFormat="1" customHeight="1" ht="22.049999999999997">
      <c r="A11" s="1667"/>
      <c r="B11" s="1672"/>
      <c r="C11" s="1667"/>
      <c r="D11" s="963"/>
      <c r="E11" s="692"/>
      <c r="F11" s="692"/>
      <c r="G11" s="692"/>
      <c r="H11" s="692"/>
      <c r="I11" s="692"/>
      <c r="J11" s="692"/>
      <c r="K11" s="1012"/>
      <c r="L11" s="1012"/>
      <c r="M11" s="1012"/>
      <c r="N11" s="1012"/>
      <c r="O11" s="738"/>
      <c r="P11" s="1012"/>
      <c r="Q11" s="737"/>
      <c r="R11" s="737"/>
      <c r="S11" s="737"/>
      <c r="T11" s="737"/>
      <c r="IU11" s="1019">
        <v>21</v>
      </c>
    </row>
    <row s="50897" customFormat="1" customHeight="1" ht="14.699999999999998">
      <c r="A12" s="1667"/>
      <c r="B12" s="1672"/>
      <c r="C12" s="1667"/>
      <c r="D12" s="963"/>
      <c r="E12" s="1667"/>
      <c r="F12" s="1667"/>
      <c r="G12" s="1667"/>
      <c r="H12" s="1667"/>
      <c r="I12" s="1667"/>
      <c r="J12" s="1667"/>
      <c r="K12" s="1012"/>
      <c r="L12" s="1012"/>
      <c r="M12" s="1012"/>
      <c r="N12" s="1012"/>
      <c r="O12" s="738"/>
      <c r="P12" s="1012"/>
      <c r="Q12" s="737"/>
      <c r="R12" s="737"/>
      <c r="S12" s="737"/>
      <c r="T12" s="737"/>
      <c r="IU12" s="1019">
        <v>14</v>
      </c>
    </row>
    <row s="50897" customFormat="1" customHeight="1" ht="1.05">
      <c r="A13" s="1667"/>
      <c r="B13" s="1672"/>
      <c r="C13" s="1667"/>
      <c r="D13" s="963"/>
      <c r="E13" s="1667"/>
      <c r="F13" s="1667"/>
      <c r="G13" s="1667"/>
      <c r="H13" s="1667"/>
      <c r="I13" s="1667"/>
      <c r="J13" s="1667"/>
      <c r="K13" s="1012"/>
      <c r="L13" s="1012"/>
      <c r="M13" s="1012"/>
      <c r="N13" s="1012"/>
      <c r="O13" s="738"/>
      <c r="P13" s="1012"/>
      <c r="Q13" s="737"/>
      <c r="R13" s="737"/>
      <c r="S13" s="737"/>
      <c r="T13" s="737"/>
      <c r="IU13" s="1019">
        <v>1</v>
      </c>
    </row>
    <row s="50975" customFormat="1" customHeight="1" ht="10.5">
      <c r="B14" s="1346"/>
      <c r="D14" s="694"/>
      <c r="K14" s="1012"/>
      <c r="L14" s="1012"/>
      <c r="M14" s="1012"/>
      <c r="N14" s="1012"/>
      <c r="O14" s="738"/>
      <c r="P14" s="1012"/>
      <c r="Q14" s="737"/>
      <c r="R14" s="737"/>
      <c r="S14" s="737"/>
      <c r="T14" s="737"/>
      <c r="IU14" s="693">
        <v>10</v>
      </c>
    </row>
    <row s="50975" customFormat="1" customHeight="1" ht="10.5">
      <c r="B15" s="1346"/>
      <c r="D15" s="694"/>
      <c r="K15" s="1012"/>
      <c r="L15" s="1012"/>
      <c r="M15" s="1012"/>
      <c r="N15" s="1012"/>
      <c r="O15" s="738"/>
      <c r="P15" s="1012"/>
      <c r="Q15" s="737"/>
      <c r="R15" s="737"/>
      <c r="S15" s="737"/>
      <c r="T15" s="737"/>
      <c r="IU15" s="693">
        <v>10</v>
      </c>
    </row>
    <row customHeight="1" ht="14.699999999999998">
      <c r="IU16" s="1667">
        <v>14</v>
      </c>
    </row>
    <row customHeight="1" ht="14.699999999999998">
      <c r="IU17" s="1667">
        <v>14</v>
      </c>
    </row>
    <row customHeight="1" ht="14.699999999999998">
      <c r="IU18" s="1667">
        <v>14</v>
      </c>
    </row>
    <row customHeight="1" ht="14.699999999999998">
      <c r="G19" s="885"/>
      <c r="H19" s="885"/>
      <c r="I19" s="885"/>
      <c r="IU19" s="1667">
        <v>14</v>
      </c>
    </row>
    <row customHeight="1" ht="14.699999999999998">
      <c r="IU20" s="1667">
        <v>14</v>
      </c>
    </row>
    <row customHeight="1" ht="14.699999999999998">
      <c r="IU21" s="1667">
        <v>14</v>
      </c>
    </row>
    <row customHeight="1" ht="14.699999999999998">
      <c r="IU22" s="1667">
        <v>14</v>
      </c>
    </row>
    <row customHeight="1" ht="14.699999999999998">
      <c r="K23" s="1667"/>
      <c r="L23" s="1667"/>
      <c r="M23" s="1667"/>
      <c r="IU23" s="1667">
        <v>14</v>
      </c>
    </row>
    <row customHeight="1" ht="22.5" hidden="1">
      <c r="A24" s="1667" t="s">
        <v>84</v>
      </c>
      <c r="B24" s="1672">
        <v>0</v>
      </c>
      <c r="C24" s="1667">
        <v>0</v>
      </c>
      <c r="D24" s="963">
        <v>3</v>
      </c>
      <c r="E24" s="1667">
        <v>6</v>
      </c>
      <c r="F24" s="1667">
        <v>46</v>
      </c>
      <c r="G24" s="1667">
        <v>16</v>
      </c>
      <c r="H24" s="1667">
        <v>16</v>
      </c>
      <c r="I24" s="1667">
        <v>35</v>
      </c>
      <c r="J24" s="1667">
        <v>89</v>
      </c>
      <c r="K24" s="1012">
        <v>3</v>
      </c>
      <c r="L24" s="1012">
        <v>8</v>
      </c>
      <c r="M24" s="1012">
        <v>8</v>
      </c>
      <c r="N24" s="1012">
        <v>8</v>
      </c>
      <c r="O24" s="738">
        <v>25</v>
      </c>
      <c r="P24" s="1012">
        <v>14</v>
      </c>
      <c r="Q24" s="737">
        <v>8</v>
      </c>
      <c r="R24" s="737">
        <v>8</v>
      </c>
      <c r="S24" s="737">
        <v>8</v>
      </c>
      <c r="T24" s="737">
        <v>8</v>
      </c>
      <c r="U24" s="1667">
        <v>8</v>
      </c>
      <c r="V24" s="1667">
        <v>8</v>
      </c>
      <c r="W24" s="1667">
        <v>8</v>
      </c>
      <c r="X24" s="1667">
        <v>8</v>
      </c>
      <c r="Y24" s="1667">
        <v>8</v>
      </c>
      <c r="Z24" s="1667">
        <v>8</v>
      </c>
      <c r="AA24" s="1667">
        <v>8</v>
      </c>
      <c r="AB24" s="1667">
        <v>8</v>
      </c>
      <c r="AC24" s="1667">
        <v>8</v>
      </c>
      <c r="AD24" s="1667">
        <v>8</v>
      </c>
      <c r="AE24" s="1667">
        <v>8</v>
      </c>
      <c r="AF24" s="1667">
        <v>8</v>
      </c>
      <c r="AG24" s="1667">
        <v>8</v>
      </c>
      <c r="AH24" s="1667">
        <v>8</v>
      </c>
      <c r="AI24" s="1667">
        <v>8</v>
      </c>
      <c r="AJ24" s="1667">
        <v>8</v>
      </c>
      <c r="AK24" s="1667">
        <v>8</v>
      </c>
      <c r="AL24" s="1667">
        <v>8</v>
      </c>
      <c r="AM24" s="1667">
        <v>8</v>
      </c>
      <c r="AN24" s="1667">
        <v>8</v>
      </c>
      <c r="AO24" s="1667">
        <v>8</v>
      </c>
      <c r="AP24" s="1667">
        <v>8</v>
      </c>
      <c r="AQ24" s="1667">
        <v>8</v>
      </c>
      <c r="AR24" s="1667">
        <v>8</v>
      </c>
      <c r="AS24" s="1667">
        <v>8</v>
      </c>
      <c r="AT24" s="1667">
        <v>8</v>
      </c>
      <c r="AU24" s="1667">
        <v>8</v>
      </c>
      <c r="AV24" s="1667">
        <v>8</v>
      </c>
      <c r="AW24" s="1667">
        <v>8</v>
      </c>
      <c r="AX24" s="1667">
        <v>8</v>
      </c>
      <c r="AY24" s="1667">
        <v>8</v>
      </c>
      <c r="AZ24" s="1667">
        <v>8</v>
      </c>
      <c r="BA24" s="1667">
        <v>8</v>
      </c>
      <c r="BB24" s="1667">
        <v>8</v>
      </c>
      <c r="BC24" s="1667">
        <v>8</v>
      </c>
      <c r="BD24" s="1667">
        <v>8</v>
      </c>
      <c r="BE24" s="1667">
        <v>8</v>
      </c>
      <c r="BF24" s="1667">
        <v>8</v>
      </c>
      <c r="BG24" s="1667">
        <v>8</v>
      </c>
      <c r="BH24" s="1667">
        <v>8</v>
      </c>
      <c r="BI24" s="1667">
        <v>8</v>
      </c>
      <c r="BJ24" s="1667">
        <v>8</v>
      </c>
      <c r="BK24" s="1667">
        <v>8</v>
      </c>
      <c r="BL24" s="1667">
        <v>8</v>
      </c>
      <c r="BM24" s="1667">
        <v>8</v>
      </c>
      <c r="BN24" s="1667">
        <v>8</v>
      </c>
      <c r="BO24" s="1667">
        <v>8</v>
      </c>
      <c r="BP24" s="1667">
        <v>8</v>
      </c>
      <c r="BQ24" s="1667">
        <v>8</v>
      </c>
      <c r="BR24" s="1667">
        <v>8</v>
      </c>
      <c r="BS24" s="1667">
        <v>8</v>
      </c>
      <c r="BT24" s="1667">
        <v>8</v>
      </c>
      <c r="BU24" s="1667">
        <v>8</v>
      </c>
      <c r="BV24" s="1667">
        <v>8</v>
      </c>
      <c r="BW24" s="1667">
        <v>8</v>
      </c>
      <c r="BX24" s="1667">
        <v>8</v>
      </c>
      <c r="BY24" s="1667">
        <v>8</v>
      </c>
      <c r="BZ24" s="1667">
        <v>8</v>
      </c>
      <c r="CA24" s="1667">
        <v>8</v>
      </c>
      <c r="CB24" s="1667">
        <v>8</v>
      </c>
      <c r="CC24" s="1667">
        <v>8</v>
      </c>
      <c r="CD24" s="1667">
        <v>8</v>
      </c>
      <c r="CE24" s="1667">
        <v>8</v>
      </c>
      <c r="CF24" s="1667">
        <v>8</v>
      </c>
      <c r="CG24" s="1667">
        <v>8</v>
      </c>
      <c r="CH24" s="1667">
        <v>8</v>
      </c>
      <c r="CI24" s="1667">
        <v>8</v>
      </c>
      <c r="CJ24" s="1667">
        <v>8</v>
      </c>
      <c r="CK24" s="1667">
        <v>8</v>
      </c>
      <c r="CL24" s="1667">
        <v>8</v>
      </c>
      <c r="CM24" s="1667">
        <v>8</v>
      </c>
      <c r="CN24" s="1667">
        <v>8</v>
      </c>
      <c r="CO24" s="1667">
        <v>8</v>
      </c>
      <c r="CP24" s="1667">
        <v>8</v>
      </c>
      <c r="CQ24" s="1667">
        <v>8</v>
      </c>
      <c r="CR24" s="1667">
        <v>8</v>
      </c>
      <c r="CS24" s="1667">
        <v>8</v>
      </c>
      <c r="CT24" s="1667">
        <v>8</v>
      </c>
      <c r="CU24" s="1667">
        <v>8</v>
      </c>
      <c r="CV24" s="1667">
        <v>8</v>
      </c>
      <c r="CW24" s="1667">
        <v>8</v>
      </c>
      <c r="CX24" s="1667">
        <v>8</v>
      </c>
      <c r="CY24" s="1667">
        <v>8</v>
      </c>
      <c r="CZ24" s="1667">
        <v>8</v>
      </c>
      <c r="DA24" s="1667">
        <v>8</v>
      </c>
      <c r="DB24" s="1667">
        <v>8</v>
      </c>
      <c r="DC24" s="1667">
        <v>8</v>
      </c>
      <c r="DD24" s="1667">
        <v>8</v>
      </c>
      <c r="DE24" s="1667">
        <v>8</v>
      </c>
      <c r="DF24" s="1667">
        <v>8</v>
      </c>
      <c r="DG24" s="1667">
        <v>8</v>
      </c>
      <c r="DH24" s="1667">
        <v>8</v>
      </c>
      <c r="DI24" s="1667">
        <v>8</v>
      </c>
      <c r="DJ24" s="1667">
        <v>8</v>
      </c>
      <c r="DK24" s="1667">
        <v>8</v>
      </c>
      <c r="DL24" s="1667">
        <v>8</v>
      </c>
      <c r="DM24" s="1667">
        <v>8</v>
      </c>
      <c r="DN24" s="1667">
        <v>8</v>
      </c>
      <c r="DO24" s="1667">
        <v>8</v>
      </c>
      <c r="DP24" s="1667">
        <v>8</v>
      </c>
      <c r="DQ24" s="1667">
        <v>8</v>
      </c>
      <c r="DR24" s="1667">
        <v>8</v>
      </c>
      <c r="DS24" s="1667">
        <v>8</v>
      </c>
      <c r="DT24" s="1667">
        <v>8</v>
      </c>
      <c r="DU24" s="1667">
        <v>8</v>
      </c>
      <c r="DV24" s="1667">
        <v>8</v>
      </c>
      <c r="DW24" s="1667">
        <v>8</v>
      </c>
      <c r="DX24" s="1667">
        <v>8</v>
      </c>
      <c r="DY24" s="1667">
        <v>8</v>
      </c>
      <c r="DZ24" s="1667">
        <v>8</v>
      </c>
      <c r="EA24" s="1667">
        <v>8</v>
      </c>
      <c r="EB24" s="1667">
        <v>8</v>
      </c>
      <c r="EC24" s="1667">
        <v>8</v>
      </c>
      <c r="ED24" s="1667">
        <v>8</v>
      </c>
      <c r="EE24" s="1667">
        <v>8</v>
      </c>
      <c r="EF24" s="1667">
        <v>8</v>
      </c>
      <c r="EG24" s="1667">
        <v>8</v>
      </c>
      <c r="EH24" s="1667">
        <v>8</v>
      </c>
      <c r="EI24" s="1667">
        <v>8</v>
      </c>
      <c r="EJ24" s="1667">
        <v>8</v>
      </c>
      <c r="EK24" s="1667">
        <v>8</v>
      </c>
      <c r="EL24" s="1667">
        <v>8</v>
      </c>
      <c r="EM24" s="1667">
        <v>8</v>
      </c>
      <c r="EN24" s="1667">
        <v>8</v>
      </c>
      <c r="EO24" s="1667">
        <v>8</v>
      </c>
      <c r="EP24" s="1667">
        <v>8</v>
      </c>
      <c r="EQ24" s="1667">
        <v>8</v>
      </c>
      <c r="ER24" s="1667">
        <v>8</v>
      </c>
      <c r="ES24" s="1667">
        <v>8</v>
      </c>
      <c r="ET24" s="1667">
        <v>8</v>
      </c>
      <c r="EU24" s="1667">
        <v>8</v>
      </c>
      <c r="EV24" s="1667">
        <v>8</v>
      </c>
      <c r="EW24" s="1667">
        <v>8</v>
      </c>
      <c r="EX24" s="1667">
        <v>8</v>
      </c>
      <c r="EY24" s="1667">
        <v>8</v>
      </c>
      <c r="EZ24" s="1667">
        <v>8</v>
      </c>
      <c r="FA24" s="1667">
        <v>8</v>
      </c>
      <c r="FB24" s="1667">
        <v>8</v>
      </c>
      <c r="FC24" s="1667">
        <v>8</v>
      </c>
      <c r="FD24" s="1667">
        <v>8</v>
      </c>
      <c r="FE24" s="1667">
        <v>8</v>
      </c>
      <c r="FF24" s="1667">
        <v>8</v>
      </c>
      <c r="FG24" s="1667">
        <v>8</v>
      </c>
      <c r="FH24" s="1667">
        <v>8</v>
      </c>
      <c r="FI24" s="1667">
        <v>8</v>
      </c>
      <c r="FJ24" s="1667">
        <v>8</v>
      </c>
      <c r="FK24" s="1667">
        <v>8</v>
      </c>
      <c r="FL24" s="1667">
        <v>8</v>
      </c>
      <c r="FM24" s="1667">
        <v>8</v>
      </c>
      <c r="FN24" s="1667">
        <v>8</v>
      </c>
      <c r="FO24" s="1667">
        <v>8</v>
      </c>
      <c r="FP24" s="1667">
        <v>8</v>
      </c>
      <c r="FQ24" s="1667">
        <v>8</v>
      </c>
      <c r="FR24" s="1667">
        <v>8</v>
      </c>
      <c r="FS24" s="1667">
        <v>8</v>
      </c>
      <c r="FT24" s="1667">
        <v>8</v>
      </c>
      <c r="FU24" s="1667">
        <v>8</v>
      </c>
      <c r="FV24" s="1667">
        <v>8</v>
      </c>
      <c r="FW24" s="1667">
        <v>8</v>
      </c>
      <c r="FX24" s="1667">
        <v>8</v>
      </c>
      <c r="FY24" s="1667">
        <v>8</v>
      </c>
      <c r="FZ24" s="1667">
        <v>8</v>
      </c>
      <c r="GA24" s="1667">
        <v>8</v>
      </c>
      <c r="GB24" s="1667">
        <v>8</v>
      </c>
      <c r="GC24" s="1667">
        <v>8</v>
      </c>
      <c r="GD24" s="1667">
        <v>8</v>
      </c>
      <c r="GE24" s="1667">
        <v>8</v>
      </c>
      <c r="GF24" s="1667">
        <v>8</v>
      </c>
      <c r="GG24" s="1667">
        <v>8</v>
      </c>
      <c r="GH24" s="1667">
        <v>8</v>
      </c>
      <c r="GI24" s="1667">
        <v>8</v>
      </c>
      <c r="GJ24" s="1667">
        <v>8</v>
      </c>
      <c r="GK24" s="1667">
        <v>8</v>
      </c>
      <c r="GL24" s="1667">
        <v>8</v>
      </c>
      <c r="GM24" s="1667">
        <v>8</v>
      </c>
      <c r="GN24" s="1667">
        <v>8</v>
      </c>
      <c r="GO24" s="1667">
        <v>8</v>
      </c>
      <c r="GP24" s="1667">
        <v>8</v>
      </c>
      <c r="GQ24" s="1667">
        <v>8</v>
      </c>
      <c r="GR24" s="1667">
        <v>8</v>
      </c>
      <c r="GS24" s="1667">
        <v>8</v>
      </c>
      <c r="GT24" s="1667">
        <v>8</v>
      </c>
      <c r="GU24" s="1667">
        <v>8</v>
      </c>
      <c r="GV24" s="1667">
        <v>8</v>
      </c>
      <c r="GW24" s="1667">
        <v>8</v>
      </c>
      <c r="GX24" s="1667">
        <v>8</v>
      </c>
      <c r="GY24" s="1667">
        <v>8</v>
      </c>
      <c r="GZ24" s="1667">
        <v>8</v>
      </c>
      <c r="HA24" s="1667">
        <v>8</v>
      </c>
      <c r="HB24" s="1667">
        <v>8</v>
      </c>
      <c r="HC24" s="1667">
        <v>8</v>
      </c>
      <c r="HD24" s="1667">
        <v>8</v>
      </c>
      <c r="HE24" s="1667">
        <v>8</v>
      </c>
      <c r="HF24" s="1667">
        <v>8</v>
      </c>
      <c r="HG24" s="1667">
        <v>8</v>
      </c>
      <c r="HH24" s="1667">
        <v>8</v>
      </c>
      <c r="HI24" s="1667">
        <v>8</v>
      </c>
      <c r="HJ24" s="1667">
        <v>8</v>
      </c>
      <c r="HK24" s="1667">
        <v>8</v>
      </c>
      <c r="HL24" s="1667">
        <v>8</v>
      </c>
      <c r="HM24" s="1667">
        <v>8</v>
      </c>
      <c r="HN24" s="1667">
        <v>8</v>
      </c>
      <c r="HO24" s="1667">
        <v>8</v>
      </c>
      <c r="HP24" s="1667">
        <v>8</v>
      </c>
      <c r="HQ24" s="1667">
        <v>8</v>
      </c>
      <c r="HR24" s="1667">
        <v>8</v>
      </c>
      <c r="HS24" s="1667">
        <v>8</v>
      </c>
      <c r="HT24" s="1667">
        <v>8</v>
      </c>
      <c r="HU24" s="1667">
        <v>8</v>
      </c>
      <c r="HV24" s="1667">
        <v>8</v>
      </c>
      <c r="HW24" s="1667">
        <v>8</v>
      </c>
      <c r="HX24" s="1667">
        <v>8</v>
      </c>
      <c r="HY24" s="1667">
        <v>8</v>
      </c>
      <c r="HZ24" s="1667">
        <v>8</v>
      </c>
      <c r="IA24" s="1667">
        <v>8</v>
      </c>
      <c r="IB24" s="1667">
        <v>8</v>
      </c>
      <c r="IC24" s="1667">
        <v>8</v>
      </c>
      <c r="ID24" s="1667">
        <v>8</v>
      </c>
      <c r="IE24" s="1667">
        <v>8</v>
      </c>
      <c r="IF24" s="1667">
        <v>8</v>
      </c>
      <c r="IG24" s="1667">
        <v>8</v>
      </c>
      <c r="IH24" s="1667">
        <v>8</v>
      </c>
      <c r="II24" s="1667">
        <v>8</v>
      </c>
      <c r="IJ24" s="1667">
        <v>8</v>
      </c>
      <c r="IK24" s="1667">
        <v>8</v>
      </c>
      <c r="IL24" s="1667">
        <v>8</v>
      </c>
      <c r="IM24" s="1667">
        <v>8</v>
      </c>
      <c r="IN24" s="1667">
        <v>8</v>
      </c>
      <c r="IO24" s="1667">
        <v>8</v>
      </c>
      <c r="IP24" s="1667">
        <v>8</v>
      </c>
      <c r="IQ24" s="1667">
        <v>8</v>
      </c>
      <c r="IR24" s="1667">
        <v>8</v>
      </c>
      <c r="IS24" s="1667">
        <v>8</v>
      </c>
      <c r="IT24" s="1667">
        <v>8</v>
      </c>
      <c r="IU24" s="166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5A7632-E222-6297-3B7D-67CDAFF3B7E7}" mc:Ignorable="x14ac xr xr2 xr3">
  <dimension ref="A1:IW15"/>
  <sheetViews>
    <sheetView topLeftCell="A1" showGridLines="0" zoomScale="90" workbookViewId="0">
      <selection activeCell="A1" sqref="A1"/>
    </sheetView>
  </sheetViews>
  <sheetFormatPr defaultColWidth="9.140625" customHeight="1" defaultRowHeight="14.25"/>
  <cols>
    <col min="1" max="1" style="50801" width="9.140625" hidden="1"/>
    <col min="2" max="2" style="50881" width="9.140625" hidden="1"/>
    <col min="3" max="3" style="50801" width="3.7109375" hidden="1" customWidth="1"/>
    <col min="4" max="4" style="50980" width="3.00390625" customWidth="1"/>
    <col min="5" max="5" style="50801" width="6.00390625" customWidth="1"/>
    <col min="6" max="6" style="50801" width="27.00390625" customWidth="1"/>
    <col min="7" max="7" style="50801" width="16.00390625" customWidth="1"/>
    <col min="8" max="8" style="50801" width="12.00390625" customWidth="1"/>
    <col min="9" max="9" style="50801" width="32.00390625" customWidth="1"/>
    <col min="10" max="11" style="50801" width="41.00390625" customWidth="1"/>
    <col min="12" max="12" style="50801" width="89.00390625" customWidth="1"/>
    <col min="13" max="13" style="50981" width="3.00390625" customWidth="1"/>
    <col min="14" max="16" style="50981" width="8.00390625" customWidth="1"/>
    <col min="17" max="17" style="50981" width="25.00390625" customWidth="1"/>
    <col min="18" max="18" style="50981" width="14.00390625" customWidth="1"/>
    <col min="19" max="22" style="50982" width="8.00390625" customWidth="1"/>
    <col min="23" max="256" style="50801" width="8.00390625" customWidth="1"/>
    <col min="257" max="257" style="50801" width="9.140625" hidden="1"/>
  </cols>
  <sheetData>
    <row customHeight="1" ht="22.5" hidden="1">
      <c r="IW1" s="1667" t="s">
        <v>14</v>
      </c>
    </row>
    <row s="50942" customFormat="1" customHeight="1" ht="22.5" hidden="1">
      <c r="A2" s="1343"/>
      <c r="B2" s="1672">
        <v>1</v>
      </c>
      <c r="C2" s="1672"/>
      <c r="D2" s="2440" t="s">
        <v>106</v>
      </c>
      <c r="E2" s="2401"/>
      <c r="F2" s="2404" t="str">
        <f>IF(ROIV_INFO_NAME="","",ROIV_INFO_NAME)</f>
        <v>КГУП "Примтеплоэнерго"</v>
      </c>
      <c r="G2" s="2429" t="s">
        <v>28</v>
      </c>
      <c r="H2" s="2428"/>
      <c r="I2" s="2050"/>
      <c r="J2" s="1330"/>
      <c r="K2" s="1330"/>
      <c r="L2" s="740"/>
      <c r="M2" s="2047">
        <f>MERGEVALUE(F2)</f>
      </c>
      <c r="N2" s="1023"/>
      <c r="O2" s="1023"/>
      <c r="P2" s="1012" t="str">
        <f t="array" ref="P2:P2">IF(ISERROR(MATCH(MID(Q2,1,250),MID(note_ter,1,250),0)),"n","y")</f>
        <v>n</v>
      </c>
      <c r="Q2" s="1023"/>
      <c r="R2" s="1012" t="str">
        <f>G2&amp;"("&amp;L2&amp;")"</f>
        <v>()</v>
      </c>
      <c r="S2" s="1672"/>
      <c r="T2" s="1672"/>
      <c r="U2" s="932"/>
      <c r="V2" s="1672"/>
      <c r="W2" s="1672"/>
      <c r="X2" s="1672"/>
      <c r="Y2" s="934"/>
      <c r="Z2" s="934"/>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4"/>
      <c r="BW2" s="934"/>
      <c r="BX2" s="934"/>
      <c r="BY2" s="934"/>
      <c r="BZ2" s="934"/>
      <c r="CA2" s="934"/>
      <c r="CB2" s="934"/>
      <c r="CC2" s="934"/>
      <c r="CD2" s="934"/>
      <c r="CE2" s="934"/>
      <c r="IW2" s="935">
        <v>0</v>
      </c>
    </row>
    <row s="50882" customFormat="1" customHeight="1" ht="5.25" hidden="1">
      <c r="A3" s="1008"/>
      <c r="D3" s="1006"/>
      <c r="F3" s="759" t="s">
        <v>85</v>
      </c>
      <c r="G3" s="2247" t="s">
        <v>86</v>
      </c>
      <c r="H3" s="1006"/>
      <c r="I3" s="1006"/>
      <c r="J3" s="1006"/>
      <c r="K3" s="1006"/>
      <c r="L3" s="739" t="s">
        <v>87</v>
      </c>
      <c r="M3" s="759" t="s">
        <v>85</v>
      </c>
      <c r="N3" s="759"/>
      <c r="O3" s="759"/>
      <c r="P3" s="759"/>
      <c r="Q3" s="760"/>
      <c r="R3" s="759"/>
      <c r="S3" s="759"/>
      <c r="T3" s="759"/>
      <c r="U3" s="759"/>
      <c r="V3" s="75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1023">
        <v>0</v>
      </c>
    </row>
    <row s="50897" customFormat="1" customHeight="1" ht="14.699999999999998">
      <c r="A4" s="1667"/>
      <c r="B4" s="1672"/>
      <c r="C4" s="1667"/>
      <c r="D4" s="2007"/>
      <c r="E4" s="1021"/>
      <c r="F4" s="1021"/>
      <c r="G4" s="1021"/>
      <c r="H4" s="1021"/>
      <c r="I4" s="1021"/>
      <c r="J4" s="1021"/>
      <c r="K4" s="1021"/>
      <c r="L4" s="678"/>
      <c r="M4" s="759"/>
      <c r="N4" s="1012"/>
      <c r="O4" s="1012"/>
      <c r="P4" s="1012"/>
      <c r="Q4" s="738"/>
      <c r="R4" s="1012"/>
      <c r="S4" s="737"/>
      <c r="T4" s="737"/>
      <c r="U4" s="737"/>
      <c r="V4" s="737"/>
      <c r="IW4" s="1019">
        <v>14</v>
      </c>
    </row>
    <row s="50897" customFormat="1" customHeight="1" ht="27.299999999999997">
      <c r="A5" s="1667"/>
      <c r="B5" s="1672"/>
      <c r="C5" s="1667"/>
      <c r="D5" s="2007"/>
      <c r="E5" s="26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12"/>
      <c r="G5" s="2612"/>
      <c r="H5" s="2612"/>
      <c r="I5" s="2612"/>
      <c r="J5" s="2612"/>
      <c r="K5" s="2612"/>
      <c r="L5" s="1100"/>
      <c r="M5" s="759"/>
      <c r="N5" s="1012"/>
      <c r="O5" s="1012"/>
      <c r="P5" s="1012"/>
      <c r="Q5" s="738"/>
      <c r="R5" s="1012"/>
      <c r="S5" s="737"/>
      <c r="T5" s="737"/>
      <c r="U5" s="737"/>
      <c r="V5" s="737"/>
      <c r="IW5" s="1019">
        <v>26</v>
      </c>
    </row>
    <row s="50897" customFormat="1" customHeight="1" ht="14.699999999999998">
      <c r="A6" s="1667"/>
      <c r="B6" s="1672"/>
      <c r="C6" s="1667"/>
      <c r="D6" s="2007"/>
      <c r="E6" s="1021"/>
      <c r="F6" s="679"/>
      <c r="G6" s="679"/>
      <c r="H6" s="679"/>
      <c r="I6" s="679"/>
      <c r="J6" s="679"/>
      <c r="K6" s="679"/>
      <c r="L6" s="680"/>
      <c r="M6" s="1012"/>
      <c r="N6" s="1012"/>
      <c r="O6" s="1012"/>
      <c r="P6" s="1012"/>
      <c r="Q6" s="738"/>
      <c r="R6" s="1012"/>
      <c r="S6" s="737"/>
      <c r="T6" s="737"/>
      <c r="U6" s="737"/>
      <c r="V6" s="737"/>
      <c r="IW6" s="1019">
        <v>14</v>
      </c>
    </row>
    <row s="50897" customFormat="1" customHeight="1" ht="14.699999999999998">
      <c r="A7" s="1667"/>
      <c r="B7" s="1672"/>
      <c r="C7" s="1667"/>
      <c r="D7" s="2007"/>
      <c r="E7" s="2613" t="s">
        <v>439</v>
      </c>
      <c r="F7" s="2614"/>
      <c r="G7" s="2614"/>
      <c r="H7" s="2614"/>
      <c r="I7" s="2614"/>
      <c r="J7" s="2614"/>
      <c r="K7" s="2614"/>
      <c r="L7" s="2986" t="s">
        <v>440</v>
      </c>
      <c r="M7" s="1012"/>
      <c r="N7" s="1012"/>
      <c r="O7" s="1012"/>
      <c r="P7" s="1012"/>
      <c r="Q7" s="738"/>
      <c r="R7" s="1012"/>
      <c r="S7" s="737"/>
      <c r="T7" s="737"/>
      <c r="U7" s="737"/>
      <c r="V7" s="737"/>
      <c r="IW7" s="1019">
        <v>14</v>
      </c>
    </row>
    <row s="50897" customFormat="1" customHeight="1" ht="67.2">
      <c r="A8" s="1667"/>
      <c r="B8" s="1672"/>
      <c r="C8" s="1667"/>
      <c r="D8" s="2007"/>
      <c r="E8" s="2990" t="s">
        <v>90</v>
      </c>
      <c r="F8" s="29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93"/>
      <c r="I8" s="2994"/>
      <c r="J8" s="29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8"/>
      <c r="M8" s="1012"/>
      <c r="N8" s="1012"/>
      <c r="O8" s="1012"/>
      <c r="P8" s="1012"/>
      <c r="Q8" s="738"/>
      <c r="R8" s="1012"/>
      <c r="S8" s="737"/>
      <c r="T8" s="737"/>
      <c r="U8" s="737"/>
      <c r="V8" s="737"/>
      <c r="IW8" s="1019">
        <v>64</v>
      </c>
    </row>
    <row s="50897" customFormat="1" customHeight="1" ht="29.25">
      <c r="A9" s="1667"/>
      <c r="B9" s="1672"/>
      <c r="C9" s="1667"/>
      <c r="D9" s="2007"/>
      <c r="E9" s="2991"/>
      <c r="F9" s="2991"/>
      <c r="G9" s="2049" t="s">
        <v>2013</v>
      </c>
      <c r="H9" s="2049" t="s">
        <v>2014</v>
      </c>
      <c r="I9" s="2049" t="s">
        <v>2015</v>
      </c>
      <c r="J9" s="2991"/>
      <c r="K9" s="2991"/>
      <c r="L9" s="2987"/>
      <c r="M9" s="1012"/>
      <c r="N9" s="1012"/>
      <c r="O9" s="1012"/>
      <c r="P9" s="1012"/>
      <c r="Q9" s="738"/>
      <c r="R9" s="1012"/>
      <c r="S9" s="737"/>
      <c r="T9" s="737"/>
      <c r="U9" s="737"/>
      <c r="V9" s="737"/>
      <c r="IW9" s="1019">
        <v>28</v>
      </c>
    </row>
    <row s="50942" customFormat="1" customHeight="1" ht="23.25">
      <c r="A10" s="2611"/>
      <c r="B10" s="1672">
        <v>1</v>
      </c>
      <c r="C10" s="1672"/>
      <c r="D10" s="1312"/>
      <c r="E10" s="1310">
        <v>1</v>
      </c>
      <c r="F10" s="2051" t="str">
        <f>IF(ROIV_INFO_NAME="","",ROIV_INFO_NAME)</f>
        <v>КГУП "Примтеплоэнерго"</v>
      </c>
      <c r="G10" s="2244" t="s">
        <v>28</v>
      </c>
      <c r="H10" s="2428"/>
      <c r="I10" s="2046"/>
      <c r="J10" s="1330"/>
      <c r="K10" s="1330"/>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1023"/>
      <c r="O10" s="1023"/>
      <c r="P10" s="1012" t="str">
        <f t="array" ref="P10:P10">IF(ISERROR(MATCH(MID(Q10,1,250),MID(note_ter,1,250),0)),"n","y")</f>
        <v>n</v>
      </c>
      <c r="Q10" s="1023"/>
      <c r="R10" s="101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672"/>
      <c r="T10" s="1672"/>
      <c r="U10" s="932"/>
      <c r="V10" s="1672"/>
      <c r="W10" s="1672"/>
      <c r="X10" s="1672"/>
      <c r="Y10" s="934"/>
      <c r="Z10" s="934"/>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4"/>
      <c r="BW10" s="934"/>
      <c r="BX10" s="934"/>
      <c r="BY10" s="934"/>
      <c r="BZ10" s="934"/>
      <c r="CA10" s="934"/>
      <c r="CB10" s="934"/>
      <c r="CC10" s="934"/>
      <c r="CD10" s="934"/>
      <c r="CE10" s="934"/>
      <c r="IW10" s="935">
        <v>22</v>
      </c>
    </row>
    <row s="50942" customFormat="1" customHeight="1" ht="15.75">
      <c r="A11" s="2611"/>
      <c r="B11" s="1672"/>
      <c r="C11" s="924"/>
      <c r="D11" s="1313"/>
      <c r="E11" s="933"/>
      <c r="F11" s="928" t="s">
        <v>2016</v>
      </c>
      <c r="G11" s="699"/>
      <c r="H11" s="699"/>
      <c r="I11" s="699"/>
      <c r="J11" s="699"/>
      <c r="K11" s="936"/>
      <c r="L11" s="2989"/>
      <c r="M11" s="2048"/>
      <c r="N11" s="1023"/>
      <c r="O11" s="1023"/>
      <c r="P11" s="1023"/>
      <c r="Q11" s="1012"/>
      <c r="R11" s="1023"/>
      <c r="S11" s="1672"/>
      <c r="T11" s="1672"/>
      <c r="U11" s="932"/>
      <c r="V11" s="1672"/>
      <c r="W11" s="1672"/>
      <c r="X11" s="1672"/>
      <c r="Y11" s="934"/>
      <c r="Z11" s="934"/>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931"/>
      <c r="BU11" s="931"/>
      <c r="BV11" s="934"/>
      <c r="BW11" s="934"/>
      <c r="BX11" s="934"/>
      <c r="BY11" s="934"/>
      <c r="BZ11" s="934"/>
      <c r="CA11" s="934"/>
      <c r="CB11" s="934"/>
      <c r="CC11" s="934"/>
      <c r="CD11" s="934"/>
      <c r="CE11" s="934"/>
      <c r="IW11" s="935">
        <v>15</v>
      </c>
    </row>
    <row s="50897" customFormat="1" customHeight="1" ht="22.049999999999997">
      <c r="A12" s="1667"/>
      <c r="B12" s="1672"/>
      <c r="C12" s="1667"/>
      <c r="D12" s="963"/>
      <c r="E12" s="692"/>
      <c r="F12" s="692"/>
      <c r="G12" s="692"/>
      <c r="H12" s="692"/>
      <c r="I12" s="692"/>
      <c r="J12" s="692"/>
      <c r="K12" s="692"/>
      <c r="L12" s="692"/>
      <c r="M12" s="1012"/>
      <c r="N12" s="1012"/>
      <c r="O12" s="1012"/>
      <c r="P12" s="1012"/>
      <c r="Q12" s="738"/>
      <c r="R12" s="1012"/>
      <c r="S12" s="737"/>
      <c r="T12" s="737"/>
      <c r="U12" s="737"/>
      <c r="V12" s="737"/>
      <c r="IW12" s="1019">
        <v>21</v>
      </c>
    </row>
    <row s="50897" customFormat="1" customHeight="1" ht="14.699999999999998">
      <c r="A13" s="1667"/>
      <c r="B13" s="1672"/>
      <c r="C13" s="1667"/>
      <c r="D13" s="963"/>
      <c r="E13" s="1667"/>
      <c r="F13" s="1667"/>
      <c r="G13" s="1667"/>
      <c r="H13" s="1667"/>
      <c r="I13" s="1667"/>
      <c r="J13" s="1667"/>
      <c r="K13" s="1667"/>
      <c r="L13" s="1667"/>
      <c r="M13" s="1012"/>
      <c r="N13" s="1012"/>
      <c r="O13" s="1012"/>
      <c r="P13" s="1012"/>
      <c r="Q13" s="738"/>
      <c r="R13" s="1012"/>
      <c r="S13" s="737"/>
      <c r="T13" s="737"/>
      <c r="U13" s="737"/>
      <c r="V13" s="737"/>
      <c r="IW13" s="1019">
        <v>14</v>
      </c>
    </row>
    <row s="50897" customFormat="1" customHeight="1" ht="1.05">
      <c r="A14" s="1667"/>
      <c r="B14" s="1672"/>
      <c r="C14" s="1667"/>
      <c r="D14" s="963"/>
      <c r="E14" s="1667"/>
      <c r="F14" s="1667"/>
      <c r="G14" s="1667"/>
      <c r="H14" s="1667"/>
      <c r="I14" s="1667"/>
      <c r="J14" s="1667"/>
      <c r="K14" s="1667"/>
      <c r="L14" s="1667"/>
      <c r="M14" s="1012"/>
      <c r="N14" s="1012"/>
      <c r="O14" s="1012"/>
      <c r="P14" s="1012"/>
      <c r="Q14" s="738"/>
      <c r="R14" s="1012"/>
      <c r="S14" s="737"/>
      <c r="T14" s="737"/>
      <c r="U14" s="737"/>
      <c r="V14" s="737"/>
      <c r="IW14" s="1019">
        <v>1</v>
      </c>
    </row>
    <row customHeight="1" ht="22.5" hidden="1">
      <c r="A15" s="1667" t="s">
        <v>84</v>
      </c>
      <c r="B15" s="1672">
        <v>0</v>
      </c>
      <c r="C15" s="1667">
        <v>0</v>
      </c>
      <c r="D15" s="963">
        <v>3</v>
      </c>
      <c r="E15" s="1667">
        <v>6</v>
      </c>
      <c r="F15" s="1667">
        <v>27</v>
      </c>
      <c r="G15" s="1667">
        <v>16</v>
      </c>
      <c r="H15" s="1667">
        <v>12</v>
      </c>
      <c r="I15" s="1667">
        <v>32</v>
      </c>
      <c r="J15" s="1667">
        <v>41</v>
      </c>
      <c r="K15" s="1667">
        <v>41</v>
      </c>
      <c r="L15" s="1667">
        <v>89</v>
      </c>
      <c r="M15" s="1012">
        <v>3</v>
      </c>
      <c r="N15" s="1012">
        <v>8</v>
      </c>
      <c r="O15" s="1012">
        <v>8</v>
      </c>
      <c r="P15" s="1012">
        <v>8</v>
      </c>
      <c r="Q15" s="738">
        <v>25</v>
      </c>
      <c r="R15" s="1012">
        <v>14</v>
      </c>
      <c r="S15" s="737">
        <v>8</v>
      </c>
      <c r="T15" s="737">
        <v>8</v>
      </c>
      <c r="U15" s="737">
        <v>8</v>
      </c>
      <c r="V15" s="737">
        <v>8</v>
      </c>
      <c r="W15" s="1667">
        <v>8</v>
      </c>
      <c r="X15" s="1667">
        <v>8</v>
      </c>
      <c r="Y15" s="1667">
        <v>8</v>
      </c>
      <c r="Z15" s="1667">
        <v>8</v>
      </c>
      <c r="AA15" s="1667">
        <v>8</v>
      </c>
      <c r="AB15" s="1667">
        <v>8</v>
      </c>
      <c r="AC15" s="1667">
        <v>8</v>
      </c>
      <c r="AD15" s="1667">
        <v>8</v>
      </c>
      <c r="AE15" s="1667">
        <v>8</v>
      </c>
      <c r="AF15" s="1667">
        <v>8</v>
      </c>
      <c r="AG15" s="1667">
        <v>8</v>
      </c>
      <c r="AH15" s="1667">
        <v>8</v>
      </c>
      <c r="AI15" s="1667">
        <v>8</v>
      </c>
      <c r="AJ15" s="1667">
        <v>8</v>
      </c>
      <c r="AK15" s="1667">
        <v>8</v>
      </c>
      <c r="AL15" s="1667">
        <v>8</v>
      </c>
      <c r="AM15" s="1667">
        <v>8</v>
      </c>
      <c r="AN15" s="1667">
        <v>8</v>
      </c>
      <c r="AO15" s="1667">
        <v>8</v>
      </c>
      <c r="AP15" s="1667">
        <v>8</v>
      </c>
      <c r="AQ15" s="1667">
        <v>8</v>
      </c>
      <c r="AR15" s="1667">
        <v>8</v>
      </c>
      <c r="AS15" s="1667">
        <v>8</v>
      </c>
      <c r="AT15" s="1667">
        <v>8</v>
      </c>
      <c r="AU15" s="1667">
        <v>8</v>
      </c>
      <c r="AV15" s="1667">
        <v>8</v>
      </c>
      <c r="AW15" s="1667">
        <v>8</v>
      </c>
      <c r="AX15" s="1667">
        <v>8</v>
      </c>
      <c r="AY15" s="1667">
        <v>8</v>
      </c>
      <c r="AZ15" s="1667">
        <v>8</v>
      </c>
      <c r="BA15" s="1667">
        <v>8</v>
      </c>
      <c r="BB15" s="1667">
        <v>8</v>
      </c>
      <c r="BC15" s="1667">
        <v>8</v>
      </c>
      <c r="BD15" s="1667">
        <v>8</v>
      </c>
      <c r="BE15" s="1667">
        <v>8</v>
      </c>
      <c r="BF15" s="1667">
        <v>8</v>
      </c>
      <c r="BG15" s="1667">
        <v>8</v>
      </c>
      <c r="BH15" s="1667">
        <v>8</v>
      </c>
      <c r="BI15" s="1667">
        <v>8</v>
      </c>
      <c r="BJ15" s="1667">
        <v>8</v>
      </c>
      <c r="BK15" s="1667">
        <v>8</v>
      </c>
      <c r="BL15" s="1667">
        <v>8</v>
      </c>
      <c r="BM15" s="1667">
        <v>8</v>
      </c>
      <c r="BN15" s="1667">
        <v>8</v>
      </c>
      <c r="BO15" s="1667">
        <v>8</v>
      </c>
      <c r="BP15" s="1667">
        <v>8</v>
      </c>
      <c r="BQ15" s="1667">
        <v>8</v>
      </c>
      <c r="BR15" s="1667">
        <v>8</v>
      </c>
      <c r="BS15" s="1667">
        <v>8</v>
      </c>
      <c r="BT15" s="1667">
        <v>8</v>
      </c>
      <c r="BU15" s="1667">
        <v>8</v>
      </c>
      <c r="BV15" s="1667">
        <v>8</v>
      </c>
      <c r="BW15" s="1667">
        <v>8</v>
      </c>
      <c r="BX15" s="1667">
        <v>8</v>
      </c>
      <c r="BY15" s="1667">
        <v>8</v>
      </c>
      <c r="BZ15" s="1667">
        <v>8</v>
      </c>
      <c r="CA15" s="1667">
        <v>8</v>
      </c>
      <c r="CB15" s="1667">
        <v>8</v>
      </c>
      <c r="CC15" s="1667">
        <v>8</v>
      </c>
      <c r="CD15" s="1667">
        <v>8</v>
      </c>
      <c r="CE15" s="1667">
        <v>8</v>
      </c>
      <c r="CF15" s="1667">
        <v>8</v>
      </c>
      <c r="CG15" s="1667">
        <v>8</v>
      </c>
      <c r="CH15" s="1667">
        <v>8</v>
      </c>
      <c r="CI15" s="1667">
        <v>8</v>
      </c>
      <c r="CJ15" s="1667">
        <v>8</v>
      </c>
      <c r="CK15" s="1667">
        <v>8</v>
      </c>
      <c r="CL15" s="1667">
        <v>8</v>
      </c>
      <c r="CM15" s="1667">
        <v>8</v>
      </c>
      <c r="CN15" s="1667">
        <v>8</v>
      </c>
      <c r="CO15" s="1667">
        <v>8</v>
      </c>
      <c r="CP15" s="1667">
        <v>8</v>
      </c>
      <c r="CQ15" s="1667">
        <v>8</v>
      </c>
      <c r="CR15" s="1667">
        <v>8</v>
      </c>
      <c r="CS15" s="1667">
        <v>8</v>
      </c>
      <c r="CT15" s="1667">
        <v>8</v>
      </c>
      <c r="CU15" s="1667">
        <v>8</v>
      </c>
      <c r="CV15" s="1667">
        <v>8</v>
      </c>
      <c r="CW15" s="1667">
        <v>8</v>
      </c>
      <c r="CX15" s="1667">
        <v>8</v>
      </c>
      <c r="CY15" s="1667">
        <v>8</v>
      </c>
      <c r="CZ15" s="1667">
        <v>8</v>
      </c>
      <c r="DA15" s="1667">
        <v>8</v>
      </c>
      <c r="DB15" s="1667">
        <v>8</v>
      </c>
      <c r="DC15" s="1667">
        <v>8</v>
      </c>
      <c r="DD15" s="1667">
        <v>8</v>
      </c>
      <c r="DE15" s="1667">
        <v>8</v>
      </c>
      <c r="DF15" s="1667">
        <v>8</v>
      </c>
      <c r="DG15" s="1667">
        <v>8</v>
      </c>
      <c r="DH15" s="1667">
        <v>8</v>
      </c>
      <c r="DI15" s="1667">
        <v>8</v>
      </c>
      <c r="DJ15" s="1667">
        <v>8</v>
      </c>
      <c r="DK15" s="1667">
        <v>8</v>
      </c>
      <c r="DL15" s="1667">
        <v>8</v>
      </c>
      <c r="DM15" s="1667">
        <v>8</v>
      </c>
      <c r="DN15" s="1667">
        <v>8</v>
      </c>
      <c r="DO15" s="1667">
        <v>8</v>
      </c>
      <c r="DP15" s="1667">
        <v>8</v>
      </c>
      <c r="DQ15" s="1667">
        <v>8</v>
      </c>
      <c r="DR15" s="1667">
        <v>8</v>
      </c>
      <c r="DS15" s="1667">
        <v>8</v>
      </c>
      <c r="DT15" s="1667">
        <v>8</v>
      </c>
      <c r="DU15" s="1667">
        <v>8</v>
      </c>
      <c r="DV15" s="1667">
        <v>8</v>
      </c>
      <c r="DW15" s="1667">
        <v>8</v>
      </c>
      <c r="DX15" s="1667">
        <v>8</v>
      </c>
      <c r="DY15" s="1667">
        <v>8</v>
      </c>
      <c r="DZ15" s="1667">
        <v>8</v>
      </c>
      <c r="EA15" s="1667">
        <v>8</v>
      </c>
      <c r="EB15" s="1667">
        <v>8</v>
      </c>
      <c r="EC15" s="1667">
        <v>8</v>
      </c>
      <c r="ED15" s="1667">
        <v>8</v>
      </c>
      <c r="EE15" s="1667">
        <v>8</v>
      </c>
      <c r="EF15" s="1667">
        <v>8</v>
      </c>
      <c r="EG15" s="1667">
        <v>8</v>
      </c>
      <c r="EH15" s="1667">
        <v>8</v>
      </c>
      <c r="EI15" s="1667">
        <v>8</v>
      </c>
      <c r="EJ15" s="1667">
        <v>8</v>
      </c>
      <c r="EK15" s="1667">
        <v>8</v>
      </c>
      <c r="EL15" s="1667">
        <v>8</v>
      </c>
      <c r="EM15" s="1667">
        <v>8</v>
      </c>
      <c r="EN15" s="1667">
        <v>8</v>
      </c>
      <c r="EO15" s="1667">
        <v>8</v>
      </c>
      <c r="EP15" s="1667">
        <v>8</v>
      </c>
      <c r="EQ15" s="1667">
        <v>8</v>
      </c>
      <c r="ER15" s="1667">
        <v>8</v>
      </c>
      <c r="ES15" s="1667">
        <v>8</v>
      </c>
      <c r="ET15" s="1667">
        <v>8</v>
      </c>
      <c r="EU15" s="1667">
        <v>8</v>
      </c>
      <c r="EV15" s="1667">
        <v>8</v>
      </c>
      <c r="EW15" s="1667">
        <v>8</v>
      </c>
      <c r="EX15" s="1667">
        <v>8</v>
      </c>
      <c r="EY15" s="1667">
        <v>8</v>
      </c>
      <c r="EZ15" s="1667">
        <v>8</v>
      </c>
      <c r="FA15" s="1667">
        <v>8</v>
      </c>
      <c r="FB15" s="1667">
        <v>8</v>
      </c>
      <c r="FC15" s="1667">
        <v>8</v>
      </c>
      <c r="FD15" s="1667">
        <v>8</v>
      </c>
      <c r="FE15" s="1667">
        <v>8</v>
      </c>
      <c r="FF15" s="1667">
        <v>8</v>
      </c>
      <c r="FG15" s="1667">
        <v>8</v>
      </c>
      <c r="FH15" s="1667">
        <v>8</v>
      </c>
      <c r="FI15" s="1667">
        <v>8</v>
      </c>
      <c r="FJ15" s="1667">
        <v>8</v>
      </c>
      <c r="FK15" s="1667">
        <v>8</v>
      </c>
      <c r="FL15" s="1667">
        <v>8</v>
      </c>
      <c r="FM15" s="1667">
        <v>8</v>
      </c>
      <c r="FN15" s="1667">
        <v>8</v>
      </c>
      <c r="FO15" s="1667">
        <v>8</v>
      </c>
      <c r="FP15" s="1667">
        <v>8</v>
      </c>
      <c r="FQ15" s="1667">
        <v>8</v>
      </c>
      <c r="FR15" s="1667">
        <v>8</v>
      </c>
      <c r="FS15" s="1667">
        <v>8</v>
      </c>
      <c r="FT15" s="1667">
        <v>8</v>
      </c>
      <c r="FU15" s="1667">
        <v>8</v>
      </c>
      <c r="FV15" s="1667">
        <v>8</v>
      </c>
      <c r="FW15" s="1667">
        <v>8</v>
      </c>
      <c r="FX15" s="1667">
        <v>8</v>
      </c>
      <c r="FY15" s="1667">
        <v>8</v>
      </c>
      <c r="FZ15" s="1667">
        <v>8</v>
      </c>
      <c r="GA15" s="1667">
        <v>8</v>
      </c>
      <c r="GB15" s="1667">
        <v>8</v>
      </c>
      <c r="GC15" s="1667">
        <v>8</v>
      </c>
      <c r="GD15" s="1667">
        <v>8</v>
      </c>
      <c r="GE15" s="1667">
        <v>8</v>
      </c>
      <c r="GF15" s="1667">
        <v>8</v>
      </c>
      <c r="GG15" s="1667">
        <v>8</v>
      </c>
      <c r="GH15" s="1667">
        <v>8</v>
      </c>
      <c r="GI15" s="1667">
        <v>8</v>
      </c>
      <c r="GJ15" s="1667">
        <v>8</v>
      </c>
      <c r="GK15" s="1667">
        <v>8</v>
      </c>
      <c r="GL15" s="1667">
        <v>8</v>
      </c>
      <c r="GM15" s="1667">
        <v>8</v>
      </c>
      <c r="GN15" s="1667">
        <v>8</v>
      </c>
      <c r="GO15" s="1667">
        <v>8</v>
      </c>
      <c r="GP15" s="1667">
        <v>8</v>
      </c>
      <c r="GQ15" s="1667">
        <v>8</v>
      </c>
      <c r="GR15" s="1667">
        <v>8</v>
      </c>
      <c r="GS15" s="1667">
        <v>8</v>
      </c>
      <c r="GT15" s="1667">
        <v>8</v>
      </c>
      <c r="GU15" s="1667">
        <v>8</v>
      </c>
      <c r="GV15" s="1667">
        <v>8</v>
      </c>
      <c r="GW15" s="1667">
        <v>8</v>
      </c>
      <c r="GX15" s="1667">
        <v>8</v>
      </c>
      <c r="GY15" s="1667">
        <v>8</v>
      </c>
      <c r="GZ15" s="1667">
        <v>8</v>
      </c>
      <c r="HA15" s="1667">
        <v>8</v>
      </c>
      <c r="HB15" s="1667">
        <v>8</v>
      </c>
      <c r="HC15" s="1667">
        <v>8</v>
      </c>
      <c r="HD15" s="1667">
        <v>8</v>
      </c>
      <c r="HE15" s="1667">
        <v>8</v>
      </c>
      <c r="HF15" s="1667">
        <v>8</v>
      </c>
      <c r="HG15" s="1667">
        <v>8</v>
      </c>
      <c r="HH15" s="1667">
        <v>8</v>
      </c>
      <c r="HI15" s="1667">
        <v>8</v>
      </c>
      <c r="HJ15" s="1667">
        <v>8</v>
      </c>
      <c r="HK15" s="1667">
        <v>8</v>
      </c>
      <c r="HL15" s="1667">
        <v>8</v>
      </c>
      <c r="HM15" s="1667">
        <v>8</v>
      </c>
      <c r="HN15" s="1667">
        <v>8</v>
      </c>
      <c r="HO15" s="1667">
        <v>8</v>
      </c>
      <c r="HP15" s="1667">
        <v>8</v>
      </c>
      <c r="HQ15" s="1667">
        <v>8</v>
      </c>
      <c r="HR15" s="1667">
        <v>8</v>
      </c>
      <c r="HS15" s="1667">
        <v>8</v>
      </c>
      <c r="HT15" s="1667">
        <v>8</v>
      </c>
      <c r="HU15" s="1667">
        <v>8</v>
      </c>
      <c r="HV15" s="1667">
        <v>8</v>
      </c>
      <c r="HW15" s="1667">
        <v>8</v>
      </c>
      <c r="HX15" s="1667">
        <v>8</v>
      </c>
      <c r="HY15" s="1667">
        <v>8</v>
      </c>
      <c r="HZ15" s="1667">
        <v>8</v>
      </c>
      <c r="IA15" s="1667">
        <v>8</v>
      </c>
      <c r="IB15" s="1667">
        <v>8</v>
      </c>
      <c r="IC15" s="1667">
        <v>8</v>
      </c>
      <c r="ID15" s="1667">
        <v>8</v>
      </c>
      <c r="IE15" s="1667">
        <v>8</v>
      </c>
      <c r="IF15" s="1667">
        <v>8</v>
      </c>
      <c r="IG15" s="1667">
        <v>8</v>
      </c>
      <c r="IH15" s="1667">
        <v>8</v>
      </c>
      <c r="II15" s="1667">
        <v>8</v>
      </c>
      <c r="IJ15" s="1667">
        <v>8</v>
      </c>
      <c r="IK15" s="1667">
        <v>8</v>
      </c>
      <c r="IL15" s="1667">
        <v>8</v>
      </c>
      <c r="IM15" s="1667">
        <v>8</v>
      </c>
      <c r="IN15" s="1667">
        <v>8</v>
      </c>
      <c r="IO15" s="1667">
        <v>8</v>
      </c>
      <c r="IP15" s="1667">
        <v>8</v>
      </c>
      <c r="IQ15" s="1667">
        <v>8</v>
      </c>
      <c r="IR15" s="1667">
        <v>8</v>
      </c>
      <c r="IS15" s="1667">
        <v>8</v>
      </c>
      <c r="IT15" s="1667">
        <v>8</v>
      </c>
      <c r="IU15" s="1667">
        <v>8</v>
      </c>
      <c r="IV15" s="1667">
        <v>8</v>
      </c>
      <c r="IW15" s="166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8167A-076A-22B6-2551-1AAFCE4FEFBC}" mc:Ignorable="x14ac xr xr2 xr3">
  <dimension ref="A1:IW15"/>
  <sheetViews>
    <sheetView topLeftCell="A1" showGridLines="0" zoomScale="90" workbookViewId="0">
      <selection activeCell="A1" sqref="A1"/>
    </sheetView>
  </sheetViews>
  <sheetFormatPr defaultColWidth="9.140625" customHeight="1" defaultRowHeight="14.25"/>
  <cols>
    <col min="1" max="1" style="50801" width="9.140625" hidden="1"/>
    <col min="2" max="2" style="50881" width="9.140625" hidden="1"/>
    <col min="3" max="3" style="50801" width="3.7109375" hidden="1" customWidth="1"/>
    <col min="4" max="4" style="50980" width="3.00390625" customWidth="1"/>
    <col min="5" max="5" style="50801" width="6.00390625" customWidth="1"/>
    <col min="6" max="6" style="50801" width="27.00390625" customWidth="1"/>
    <col min="7" max="7" style="50801" width="16.00390625" customWidth="1"/>
    <col min="8" max="8" style="50801" width="12.00390625" customWidth="1"/>
    <col min="9" max="9" style="50801" width="32.00390625" customWidth="1"/>
    <col min="10" max="11" style="50801" width="41.00390625" customWidth="1"/>
    <col min="12" max="12" style="50801" width="89.00390625" customWidth="1"/>
    <col min="13" max="13" style="50981" width="3.00390625" customWidth="1"/>
    <col min="14" max="16" style="50981" width="8.00390625" customWidth="1"/>
    <col min="17" max="17" style="50981" width="25.00390625" customWidth="1"/>
    <col min="18" max="18" style="50981" width="14.00390625" customWidth="1"/>
    <col min="19" max="22" style="50982" width="8.00390625" customWidth="1"/>
    <col min="23" max="256" style="50801" width="8.00390625" customWidth="1"/>
    <col min="257" max="257" style="50801" width="9.140625" hidden="1"/>
  </cols>
  <sheetData>
    <row customHeight="1" ht="22.5" hidden="1">
      <c r="IW1" s="2143" t="s">
        <v>14</v>
      </c>
    </row>
    <row s="50942" customFormat="1" customHeight="1" ht="22.5" hidden="1">
      <c r="A2" s="1343"/>
      <c r="B2" s="1878">
        <v>1</v>
      </c>
      <c r="C2" s="1878"/>
      <c r="D2" s="2440" t="s">
        <v>106</v>
      </c>
      <c r="E2" s="2416"/>
      <c r="F2" s="2418" t="str">
        <f>IF(ROIV_INFO_NAME="","",ROIV_INFO_NAME)</f>
        <v>КГУП "Примтеплоэнерго"</v>
      </c>
      <c r="G2" s="2244" t="s">
        <v>28</v>
      </c>
      <c r="H2" s="2428"/>
      <c r="I2" s="2050"/>
      <c r="J2" s="1330"/>
      <c r="K2" s="1330"/>
      <c r="L2" s="740"/>
      <c r="M2" s="2047">
        <f>MERGEVALUE(F2)</f>
      </c>
      <c r="N2" s="2148"/>
      <c r="O2" s="2148"/>
      <c r="P2" s="2136" t="str">
        <f t="array" ref="P2:P2">IF(ISERROR(MATCH(MID(Q2,1,250),MID(note_ter,1,250),0)),"n","y")</f>
        <v>n</v>
      </c>
      <c r="Q2" s="2148"/>
      <c r="R2" s="2136" t="str">
        <f>G2&amp;"("&amp;L2&amp;")"</f>
        <v>()</v>
      </c>
      <c r="S2" s="1878"/>
      <c r="T2" s="1878"/>
      <c r="U2" s="932"/>
      <c r="V2" s="1878"/>
      <c r="W2" s="1878"/>
      <c r="X2" s="1878"/>
      <c r="Y2" s="1345"/>
      <c r="Z2" s="1345"/>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345"/>
      <c r="BW2" s="1345"/>
      <c r="BX2" s="1345"/>
      <c r="BY2" s="1345"/>
      <c r="BZ2" s="1345"/>
      <c r="CA2" s="1345"/>
      <c r="CB2" s="1345"/>
      <c r="CC2" s="1345"/>
      <c r="CD2" s="1345"/>
      <c r="CE2" s="1345"/>
      <c r="IW2" s="1136">
        <v>0</v>
      </c>
    </row>
    <row s="50882" customFormat="1" customHeight="1" ht="5.25" hidden="1">
      <c r="A3" s="2153"/>
      <c r="D3" s="2405"/>
      <c r="F3" s="760" t="s">
        <v>85</v>
      </c>
      <c r="G3" s="2247" t="s">
        <v>86</v>
      </c>
      <c r="H3" s="2405"/>
      <c r="I3" s="2405"/>
      <c r="J3" s="2405"/>
      <c r="K3" s="2405"/>
      <c r="L3" s="739" t="s">
        <v>87</v>
      </c>
      <c r="M3" s="760" t="s">
        <v>85</v>
      </c>
      <c r="N3" s="760"/>
      <c r="O3" s="760"/>
      <c r="P3" s="760"/>
      <c r="Q3" s="760"/>
      <c r="R3" s="760"/>
      <c r="S3" s="760"/>
      <c r="T3" s="760"/>
      <c r="U3" s="760"/>
      <c r="V3" s="760"/>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2148">
        <v>0</v>
      </c>
    </row>
    <row s="50897" customFormat="1" customHeight="1" ht="14.699999999999998">
      <c r="A4" s="2143"/>
      <c r="B4" s="1878"/>
      <c r="C4" s="2143"/>
      <c r="D4" s="2027"/>
      <c r="E4" s="2147"/>
      <c r="F4" s="2147"/>
      <c r="G4" s="2147"/>
      <c r="H4" s="2147"/>
      <c r="I4" s="2147"/>
      <c r="J4" s="2147"/>
      <c r="K4" s="2147"/>
      <c r="L4" s="2407"/>
      <c r="M4" s="760"/>
      <c r="N4" s="2136"/>
      <c r="O4" s="2136"/>
      <c r="P4" s="2136"/>
      <c r="Q4" s="2136"/>
      <c r="R4" s="2136"/>
      <c r="S4" s="737"/>
      <c r="T4" s="737"/>
      <c r="U4" s="737"/>
      <c r="V4" s="737"/>
      <c r="IW4" s="2121">
        <v>14</v>
      </c>
    </row>
    <row s="50897" customFormat="1" customHeight="1" ht="27.299999999999997">
      <c r="A5" s="2143"/>
      <c r="B5" s="1878"/>
      <c r="C5" s="2143"/>
      <c r="D5" s="2027"/>
      <c r="E5" s="26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12"/>
      <c r="G5" s="2612"/>
      <c r="H5" s="2612"/>
      <c r="I5" s="2612"/>
      <c r="J5" s="2612"/>
      <c r="K5" s="2612"/>
      <c r="L5" s="2147"/>
      <c r="M5" s="760"/>
      <c r="N5" s="2136"/>
      <c r="O5" s="2136"/>
      <c r="P5" s="2136"/>
      <c r="Q5" s="2136"/>
      <c r="R5" s="2136"/>
      <c r="S5" s="737"/>
      <c r="T5" s="737"/>
      <c r="U5" s="737"/>
      <c r="V5" s="737"/>
      <c r="IW5" s="2121">
        <v>26</v>
      </c>
    </row>
    <row s="50897" customFormat="1" customHeight="1" ht="14.699999999999998">
      <c r="A6" s="2143"/>
      <c r="B6" s="1878"/>
      <c r="C6" s="2143"/>
      <c r="D6" s="2027"/>
      <c r="E6" s="2147"/>
      <c r="F6" s="1128"/>
      <c r="G6" s="1128"/>
      <c r="H6" s="1128"/>
      <c r="I6" s="1128"/>
      <c r="J6" s="1128"/>
      <c r="K6" s="1128"/>
      <c r="L6" s="1764"/>
      <c r="M6" s="2136"/>
      <c r="N6" s="2136"/>
      <c r="O6" s="2136"/>
      <c r="P6" s="2136"/>
      <c r="Q6" s="2136"/>
      <c r="R6" s="2136"/>
      <c r="S6" s="737"/>
      <c r="T6" s="737"/>
      <c r="U6" s="737"/>
      <c r="V6" s="737"/>
      <c r="IW6" s="2121">
        <v>14</v>
      </c>
    </row>
    <row s="50897" customFormat="1" customHeight="1" ht="14.699999999999998">
      <c r="A7" s="2143"/>
      <c r="B7" s="1878"/>
      <c r="C7" s="2143"/>
      <c r="D7" s="2027"/>
      <c r="E7" s="2613" t="s">
        <v>439</v>
      </c>
      <c r="F7" s="2614"/>
      <c r="G7" s="2614"/>
      <c r="H7" s="2614"/>
      <c r="I7" s="2614"/>
      <c r="J7" s="2614"/>
      <c r="K7" s="2614"/>
      <c r="L7" s="2986" t="s">
        <v>440</v>
      </c>
      <c r="M7" s="2136"/>
      <c r="N7" s="2136"/>
      <c r="O7" s="2136"/>
      <c r="P7" s="2136"/>
      <c r="Q7" s="2136"/>
      <c r="R7" s="2136"/>
      <c r="S7" s="737"/>
      <c r="T7" s="737"/>
      <c r="U7" s="737"/>
      <c r="V7" s="737"/>
      <c r="IW7" s="2121">
        <v>14</v>
      </c>
    </row>
    <row s="50897" customFormat="1" customHeight="1" ht="67.2">
      <c r="A8" s="2143"/>
      <c r="B8" s="1878"/>
      <c r="C8" s="2143"/>
      <c r="D8" s="2027"/>
      <c r="E8" s="2990" t="s">
        <v>90</v>
      </c>
      <c r="F8" s="2990" t="s">
        <v>2017</v>
      </c>
      <c r="G8" s="2992" t="s">
        <v>2018</v>
      </c>
      <c r="H8" s="2993"/>
      <c r="I8" s="2994"/>
      <c r="J8" s="2990" t="s">
        <v>2019</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8"/>
      <c r="M8" s="2136"/>
      <c r="N8" s="2136"/>
      <c r="O8" s="2136"/>
      <c r="P8" s="2136"/>
      <c r="Q8" s="2136"/>
      <c r="R8" s="2136"/>
      <c r="S8" s="737"/>
      <c r="T8" s="737"/>
      <c r="U8" s="737"/>
      <c r="V8" s="737"/>
      <c r="IW8" s="2121">
        <v>64</v>
      </c>
    </row>
    <row s="50897" customFormat="1" customHeight="1" ht="29.25">
      <c r="A9" s="2143"/>
      <c r="B9" s="1878"/>
      <c r="C9" s="2143"/>
      <c r="D9" s="2027"/>
      <c r="E9" s="2991"/>
      <c r="F9" s="2991"/>
      <c r="G9" s="2406" t="s">
        <v>2013</v>
      </c>
      <c r="H9" s="2406" t="s">
        <v>2014</v>
      </c>
      <c r="I9" s="2406" t="s">
        <v>2015</v>
      </c>
      <c r="J9" s="2991"/>
      <c r="K9" s="2991"/>
      <c r="L9" s="2987"/>
      <c r="M9" s="2136"/>
      <c r="N9" s="2136"/>
      <c r="O9" s="2136"/>
      <c r="P9" s="2136"/>
      <c r="Q9" s="2136"/>
      <c r="R9" s="2136"/>
      <c r="S9" s="737"/>
      <c r="T9" s="737"/>
      <c r="U9" s="737"/>
      <c r="V9" s="737"/>
      <c r="IW9" s="2121">
        <v>28</v>
      </c>
    </row>
    <row s="50942" customFormat="1" customHeight="1" ht="1.05">
      <c r="A10" s="2611"/>
      <c r="B10" s="1878">
        <v>1</v>
      </c>
      <c r="C10" s="1878"/>
      <c r="D10" s="1312"/>
      <c r="E10" s="1307">
        <v>0</v>
      </c>
      <c r="F10" s="2403" t="str">
        <f>IF(ROIV_INFO_NAME="","",ROIV_INFO_NAME)</f>
        <v>КГУП "Примтеплоэнерго"</v>
      </c>
      <c r="G10" s="2245" t="s">
        <v>28</v>
      </c>
      <c r="H10" s="2415"/>
      <c r="I10" s="2415"/>
      <c r="J10" s="1031"/>
      <c r="K10" s="1031"/>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2148"/>
      <c r="O10" s="2148"/>
      <c r="P10" s="2136" t="str">
        <f t="array" ref="P10:P10">IF(ISERROR(MATCH(MID(Q10,1,250),MID(note_ter,1,250),0)),"n","y")</f>
        <v>n</v>
      </c>
      <c r="Q10" s="2148"/>
      <c r="R10" s="21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8"/>
      <c r="T10" s="1878"/>
      <c r="U10" s="932"/>
      <c r="V10" s="1878"/>
      <c r="W10" s="1878"/>
      <c r="X10" s="1878"/>
      <c r="Y10" s="1345"/>
      <c r="Z10" s="1345"/>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c r="BF10" s="1139"/>
      <c r="BG10" s="1139"/>
      <c r="BH10" s="1139"/>
      <c r="BI10" s="1139"/>
      <c r="BJ10" s="1139"/>
      <c r="BK10" s="1139"/>
      <c r="BL10" s="1139"/>
      <c r="BM10" s="1139"/>
      <c r="BN10" s="1139"/>
      <c r="BO10" s="1139"/>
      <c r="BP10" s="1139"/>
      <c r="BQ10" s="1139"/>
      <c r="BR10" s="1139"/>
      <c r="BS10" s="1139"/>
      <c r="BT10" s="1139"/>
      <c r="BU10" s="1139"/>
      <c r="BV10" s="1345"/>
      <c r="BW10" s="1345"/>
      <c r="BX10" s="1345"/>
      <c r="BY10" s="1345"/>
      <c r="BZ10" s="1345"/>
      <c r="CA10" s="1345"/>
      <c r="CB10" s="1345"/>
      <c r="CC10" s="1345"/>
      <c r="CD10" s="1345"/>
      <c r="CE10" s="1345"/>
      <c r="IW10" s="1136">
        <v>1</v>
      </c>
    </row>
    <row s="50942" customFormat="1" customHeight="1" ht="15.75">
      <c r="A11" s="2611"/>
      <c r="B11" s="1878"/>
      <c r="C11" s="924"/>
      <c r="D11" s="1313"/>
      <c r="E11" s="933"/>
      <c r="F11" s="1163" t="s">
        <v>2016</v>
      </c>
      <c r="G11" s="699"/>
      <c r="H11" s="699"/>
      <c r="I11" s="699"/>
      <c r="J11" s="699"/>
      <c r="K11" s="936"/>
      <c r="L11" s="2989"/>
      <c r="M11" s="2048"/>
      <c r="N11" s="2148"/>
      <c r="O11" s="2148"/>
      <c r="P11" s="2148"/>
      <c r="Q11" s="2136"/>
      <c r="R11" s="2148"/>
      <c r="S11" s="1878"/>
      <c r="T11" s="1878"/>
      <c r="U11" s="932"/>
      <c r="V11" s="1878"/>
      <c r="W11" s="1878"/>
      <c r="X11" s="1878"/>
      <c r="Y11" s="1345"/>
      <c r="Z11" s="1345"/>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345"/>
      <c r="BW11" s="1345"/>
      <c r="BX11" s="1345"/>
      <c r="BY11" s="1345"/>
      <c r="BZ11" s="1345"/>
      <c r="CA11" s="1345"/>
      <c r="CB11" s="1345"/>
      <c r="CC11" s="1345"/>
      <c r="CD11" s="1345"/>
      <c r="CE11" s="1345"/>
      <c r="IW11" s="1136">
        <v>15</v>
      </c>
    </row>
    <row s="50897" customFormat="1" customHeight="1" ht="22.049999999999997">
      <c r="A12" s="2143"/>
      <c r="B12" s="1878"/>
      <c r="C12" s="2143"/>
      <c r="D12" s="2145"/>
      <c r="E12" s="692"/>
      <c r="F12" s="692"/>
      <c r="G12" s="692"/>
      <c r="H12" s="692"/>
      <c r="I12" s="692"/>
      <c r="J12" s="692"/>
      <c r="K12" s="692"/>
      <c r="L12" s="692"/>
      <c r="M12" s="2136"/>
      <c r="N12" s="2136"/>
      <c r="O12" s="2136"/>
      <c r="P12" s="2136"/>
      <c r="Q12" s="2136"/>
      <c r="R12" s="2136"/>
      <c r="S12" s="737"/>
      <c r="T12" s="737"/>
      <c r="U12" s="737"/>
      <c r="V12" s="737"/>
      <c r="IW12" s="2121">
        <v>21</v>
      </c>
    </row>
    <row s="50897" customFormat="1" customHeight="1" ht="14.699999999999998">
      <c r="A13" s="2143"/>
      <c r="B13" s="1878"/>
      <c r="C13" s="2143"/>
      <c r="D13" s="2145"/>
      <c r="E13" s="2143"/>
      <c r="F13" s="2143"/>
      <c r="G13" s="2143"/>
      <c r="H13" s="2143"/>
      <c r="I13" s="2143"/>
      <c r="J13" s="2143"/>
      <c r="K13" s="2143"/>
      <c r="L13" s="2143"/>
      <c r="M13" s="2136"/>
      <c r="N13" s="2136"/>
      <c r="O13" s="2136"/>
      <c r="P13" s="2136"/>
      <c r="Q13" s="2136"/>
      <c r="R13" s="2136"/>
      <c r="S13" s="737"/>
      <c r="T13" s="737"/>
      <c r="U13" s="737"/>
      <c r="V13" s="737"/>
      <c r="IW13" s="2121">
        <v>14</v>
      </c>
    </row>
    <row s="50897" customFormat="1" customHeight="1" ht="1.05">
      <c r="A14" s="2143"/>
      <c r="B14" s="1878"/>
      <c r="C14" s="2143"/>
      <c r="D14" s="2145"/>
      <c r="E14" s="2143"/>
      <c r="F14" s="2143"/>
      <c r="G14" s="2143"/>
      <c r="H14" s="2143"/>
      <c r="I14" s="2143"/>
      <c r="J14" s="2143"/>
      <c r="K14" s="2143"/>
      <c r="L14" s="2143"/>
      <c r="M14" s="2136"/>
      <c r="N14" s="2136"/>
      <c r="O14" s="2136"/>
      <c r="P14" s="2136"/>
      <c r="Q14" s="2136"/>
      <c r="R14" s="2136"/>
      <c r="S14" s="737"/>
      <c r="T14" s="737"/>
      <c r="U14" s="737"/>
      <c r="V14" s="737"/>
      <c r="IW14" s="2121">
        <v>1</v>
      </c>
    </row>
    <row customHeight="1" ht="22.5" hidden="1">
      <c r="A15" s="2143" t="s">
        <v>84</v>
      </c>
      <c r="B15" s="1878">
        <v>0</v>
      </c>
      <c r="C15" s="2143">
        <v>0</v>
      </c>
      <c r="D15" s="2145">
        <v>3</v>
      </c>
      <c r="E15" s="2143">
        <v>6</v>
      </c>
      <c r="F15" s="2143">
        <v>27</v>
      </c>
      <c r="G15" s="2143">
        <v>16</v>
      </c>
      <c r="H15" s="2143">
        <v>12</v>
      </c>
      <c r="I15" s="2143">
        <v>32</v>
      </c>
      <c r="J15" s="2143">
        <v>41</v>
      </c>
      <c r="K15" s="2143">
        <v>41</v>
      </c>
      <c r="L15" s="2143">
        <v>89</v>
      </c>
      <c r="M15" s="2136">
        <v>3</v>
      </c>
      <c r="N15" s="2136">
        <v>8</v>
      </c>
      <c r="O15" s="2136">
        <v>8</v>
      </c>
      <c r="P15" s="2136">
        <v>8</v>
      </c>
      <c r="Q15" s="2136">
        <v>25</v>
      </c>
      <c r="R15" s="2136">
        <v>14</v>
      </c>
      <c r="S15" s="737">
        <v>8</v>
      </c>
      <c r="T15" s="737">
        <v>8</v>
      </c>
      <c r="U15" s="737">
        <v>8</v>
      </c>
      <c r="V15" s="737">
        <v>8</v>
      </c>
      <c r="W15" s="2143">
        <v>8</v>
      </c>
      <c r="X15" s="2143">
        <v>8</v>
      </c>
      <c r="Y15" s="2143">
        <v>8</v>
      </c>
      <c r="Z15" s="2143">
        <v>8</v>
      </c>
      <c r="AA15" s="2143">
        <v>8</v>
      </c>
      <c r="AB15" s="2143">
        <v>8</v>
      </c>
      <c r="AC15" s="2143">
        <v>8</v>
      </c>
      <c r="AD15" s="2143">
        <v>8</v>
      </c>
      <c r="AE15" s="2143">
        <v>8</v>
      </c>
      <c r="AF15" s="2143">
        <v>8</v>
      </c>
      <c r="AG15" s="2143">
        <v>8</v>
      </c>
      <c r="AH15" s="2143">
        <v>8</v>
      </c>
      <c r="AI15" s="2143">
        <v>8</v>
      </c>
      <c r="AJ15" s="2143">
        <v>8</v>
      </c>
      <c r="AK15" s="2143">
        <v>8</v>
      </c>
      <c r="AL15" s="2143">
        <v>8</v>
      </c>
      <c r="AM15" s="2143">
        <v>8</v>
      </c>
      <c r="AN15" s="2143">
        <v>8</v>
      </c>
      <c r="AO15" s="2143">
        <v>8</v>
      </c>
      <c r="AP15" s="2143">
        <v>8</v>
      </c>
      <c r="AQ15" s="2143">
        <v>8</v>
      </c>
      <c r="AR15" s="2143">
        <v>8</v>
      </c>
      <c r="AS15" s="2143">
        <v>8</v>
      </c>
      <c r="AT15" s="2143">
        <v>8</v>
      </c>
      <c r="AU15" s="2143">
        <v>8</v>
      </c>
      <c r="AV15" s="2143">
        <v>8</v>
      </c>
      <c r="AW15" s="2143">
        <v>8</v>
      </c>
      <c r="AX15" s="2143">
        <v>8</v>
      </c>
      <c r="AY15" s="2143">
        <v>8</v>
      </c>
      <c r="AZ15" s="2143">
        <v>8</v>
      </c>
      <c r="BA15" s="2143">
        <v>8</v>
      </c>
      <c r="BB15" s="2143">
        <v>8</v>
      </c>
      <c r="BC15" s="2143">
        <v>8</v>
      </c>
      <c r="BD15" s="2143">
        <v>8</v>
      </c>
      <c r="BE15" s="2143">
        <v>8</v>
      </c>
      <c r="BF15" s="2143">
        <v>8</v>
      </c>
      <c r="BG15" s="2143">
        <v>8</v>
      </c>
      <c r="BH15" s="2143">
        <v>8</v>
      </c>
      <c r="BI15" s="2143">
        <v>8</v>
      </c>
      <c r="BJ15" s="2143">
        <v>8</v>
      </c>
      <c r="BK15" s="2143">
        <v>8</v>
      </c>
      <c r="BL15" s="2143">
        <v>8</v>
      </c>
      <c r="BM15" s="2143">
        <v>8</v>
      </c>
      <c r="BN15" s="2143">
        <v>8</v>
      </c>
      <c r="BO15" s="2143">
        <v>8</v>
      </c>
      <c r="BP15" s="2143">
        <v>8</v>
      </c>
      <c r="BQ15" s="2143">
        <v>8</v>
      </c>
      <c r="BR15" s="2143">
        <v>8</v>
      </c>
      <c r="BS15" s="2143">
        <v>8</v>
      </c>
      <c r="BT15" s="2143">
        <v>8</v>
      </c>
      <c r="BU15" s="2143">
        <v>8</v>
      </c>
      <c r="BV15" s="2143">
        <v>8</v>
      </c>
      <c r="BW15" s="2143">
        <v>8</v>
      </c>
      <c r="BX15" s="2143">
        <v>8</v>
      </c>
      <c r="BY15" s="2143">
        <v>8</v>
      </c>
      <c r="BZ15" s="2143">
        <v>8</v>
      </c>
      <c r="CA15" s="2143">
        <v>8</v>
      </c>
      <c r="CB15" s="2143">
        <v>8</v>
      </c>
      <c r="CC15" s="2143">
        <v>8</v>
      </c>
      <c r="CD15" s="2143">
        <v>8</v>
      </c>
      <c r="CE15" s="2143">
        <v>8</v>
      </c>
      <c r="CF15" s="2143">
        <v>8</v>
      </c>
      <c r="CG15" s="2143">
        <v>8</v>
      </c>
      <c r="CH15" s="2143">
        <v>8</v>
      </c>
      <c r="CI15" s="2143">
        <v>8</v>
      </c>
      <c r="CJ15" s="2143">
        <v>8</v>
      </c>
      <c r="CK15" s="2143">
        <v>8</v>
      </c>
      <c r="CL15" s="2143">
        <v>8</v>
      </c>
      <c r="CM15" s="2143">
        <v>8</v>
      </c>
      <c r="CN15" s="2143">
        <v>8</v>
      </c>
      <c r="CO15" s="2143">
        <v>8</v>
      </c>
      <c r="CP15" s="2143">
        <v>8</v>
      </c>
      <c r="CQ15" s="2143">
        <v>8</v>
      </c>
      <c r="CR15" s="2143">
        <v>8</v>
      </c>
      <c r="CS15" s="2143">
        <v>8</v>
      </c>
      <c r="CT15" s="2143">
        <v>8</v>
      </c>
      <c r="CU15" s="2143">
        <v>8</v>
      </c>
      <c r="CV15" s="2143">
        <v>8</v>
      </c>
      <c r="CW15" s="2143">
        <v>8</v>
      </c>
      <c r="CX15" s="2143">
        <v>8</v>
      </c>
      <c r="CY15" s="2143">
        <v>8</v>
      </c>
      <c r="CZ15" s="2143">
        <v>8</v>
      </c>
      <c r="DA15" s="2143">
        <v>8</v>
      </c>
      <c r="DB15" s="2143">
        <v>8</v>
      </c>
      <c r="DC15" s="2143">
        <v>8</v>
      </c>
      <c r="DD15" s="2143">
        <v>8</v>
      </c>
      <c r="DE15" s="2143">
        <v>8</v>
      </c>
      <c r="DF15" s="2143">
        <v>8</v>
      </c>
      <c r="DG15" s="2143">
        <v>8</v>
      </c>
      <c r="DH15" s="2143">
        <v>8</v>
      </c>
      <c r="DI15" s="2143">
        <v>8</v>
      </c>
      <c r="DJ15" s="2143">
        <v>8</v>
      </c>
      <c r="DK15" s="2143">
        <v>8</v>
      </c>
      <c r="DL15" s="2143">
        <v>8</v>
      </c>
      <c r="DM15" s="2143">
        <v>8</v>
      </c>
      <c r="DN15" s="2143">
        <v>8</v>
      </c>
      <c r="DO15" s="2143">
        <v>8</v>
      </c>
      <c r="DP15" s="2143">
        <v>8</v>
      </c>
      <c r="DQ15" s="2143">
        <v>8</v>
      </c>
      <c r="DR15" s="2143">
        <v>8</v>
      </c>
      <c r="DS15" s="2143">
        <v>8</v>
      </c>
      <c r="DT15" s="2143">
        <v>8</v>
      </c>
      <c r="DU15" s="2143">
        <v>8</v>
      </c>
      <c r="DV15" s="2143">
        <v>8</v>
      </c>
      <c r="DW15" s="2143">
        <v>8</v>
      </c>
      <c r="DX15" s="2143">
        <v>8</v>
      </c>
      <c r="DY15" s="2143">
        <v>8</v>
      </c>
      <c r="DZ15" s="2143">
        <v>8</v>
      </c>
      <c r="EA15" s="2143">
        <v>8</v>
      </c>
      <c r="EB15" s="2143">
        <v>8</v>
      </c>
      <c r="EC15" s="2143">
        <v>8</v>
      </c>
      <c r="ED15" s="2143">
        <v>8</v>
      </c>
      <c r="EE15" s="2143">
        <v>8</v>
      </c>
      <c r="EF15" s="2143">
        <v>8</v>
      </c>
      <c r="EG15" s="2143">
        <v>8</v>
      </c>
      <c r="EH15" s="2143">
        <v>8</v>
      </c>
      <c r="EI15" s="2143">
        <v>8</v>
      </c>
      <c r="EJ15" s="2143">
        <v>8</v>
      </c>
      <c r="EK15" s="2143">
        <v>8</v>
      </c>
      <c r="EL15" s="2143">
        <v>8</v>
      </c>
      <c r="EM15" s="2143">
        <v>8</v>
      </c>
      <c r="EN15" s="2143">
        <v>8</v>
      </c>
      <c r="EO15" s="2143">
        <v>8</v>
      </c>
      <c r="EP15" s="2143">
        <v>8</v>
      </c>
      <c r="EQ15" s="2143">
        <v>8</v>
      </c>
      <c r="ER15" s="2143">
        <v>8</v>
      </c>
      <c r="ES15" s="2143">
        <v>8</v>
      </c>
      <c r="ET15" s="2143">
        <v>8</v>
      </c>
      <c r="EU15" s="2143">
        <v>8</v>
      </c>
      <c r="EV15" s="2143">
        <v>8</v>
      </c>
      <c r="EW15" s="2143">
        <v>8</v>
      </c>
      <c r="EX15" s="2143">
        <v>8</v>
      </c>
      <c r="EY15" s="2143">
        <v>8</v>
      </c>
      <c r="EZ15" s="2143">
        <v>8</v>
      </c>
      <c r="FA15" s="2143">
        <v>8</v>
      </c>
      <c r="FB15" s="2143">
        <v>8</v>
      </c>
      <c r="FC15" s="2143">
        <v>8</v>
      </c>
      <c r="FD15" s="2143">
        <v>8</v>
      </c>
      <c r="FE15" s="2143">
        <v>8</v>
      </c>
      <c r="FF15" s="2143">
        <v>8</v>
      </c>
      <c r="FG15" s="2143">
        <v>8</v>
      </c>
      <c r="FH15" s="2143">
        <v>8</v>
      </c>
      <c r="FI15" s="2143">
        <v>8</v>
      </c>
      <c r="FJ15" s="2143">
        <v>8</v>
      </c>
      <c r="FK15" s="2143">
        <v>8</v>
      </c>
      <c r="FL15" s="2143">
        <v>8</v>
      </c>
      <c r="FM15" s="2143">
        <v>8</v>
      </c>
      <c r="FN15" s="2143">
        <v>8</v>
      </c>
      <c r="FO15" s="2143">
        <v>8</v>
      </c>
      <c r="FP15" s="2143">
        <v>8</v>
      </c>
      <c r="FQ15" s="2143">
        <v>8</v>
      </c>
      <c r="FR15" s="2143">
        <v>8</v>
      </c>
      <c r="FS15" s="2143">
        <v>8</v>
      </c>
      <c r="FT15" s="2143">
        <v>8</v>
      </c>
      <c r="FU15" s="2143">
        <v>8</v>
      </c>
      <c r="FV15" s="2143">
        <v>8</v>
      </c>
      <c r="FW15" s="2143">
        <v>8</v>
      </c>
      <c r="FX15" s="2143">
        <v>8</v>
      </c>
      <c r="FY15" s="2143">
        <v>8</v>
      </c>
      <c r="FZ15" s="2143">
        <v>8</v>
      </c>
      <c r="GA15" s="2143">
        <v>8</v>
      </c>
      <c r="GB15" s="2143">
        <v>8</v>
      </c>
      <c r="GC15" s="2143">
        <v>8</v>
      </c>
      <c r="GD15" s="2143">
        <v>8</v>
      </c>
      <c r="GE15" s="2143">
        <v>8</v>
      </c>
      <c r="GF15" s="2143">
        <v>8</v>
      </c>
      <c r="GG15" s="2143">
        <v>8</v>
      </c>
      <c r="GH15" s="2143">
        <v>8</v>
      </c>
      <c r="GI15" s="2143">
        <v>8</v>
      </c>
      <c r="GJ15" s="2143">
        <v>8</v>
      </c>
      <c r="GK15" s="2143">
        <v>8</v>
      </c>
      <c r="GL15" s="2143">
        <v>8</v>
      </c>
      <c r="GM15" s="2143">
        <v>8</v>
      </c>
      <c r="GN15" s="2143">
        <v>8</v>
      </c>
      <c r="GO15" s="2143">
        <v>8</v>
      </c>
      <c r="GP15" s="2143">
        <v>8</v>
      </c>
      <c r="GQ15" s="2143">
        <v>8</v>
      </c>
      <c r="GR15" s="2143">
        <v>8</v>
      </c>
      <c r="GS15" s="2143">
        <v>8</v>
      </c>
      <c r="GT15" s="2143">
        <v>8</v>
      </c>
      <c r="GU15" s="2143">
        <v>8</v>
      </c>
      <c r="GV15" s="2143">
        <v>8</v>
      </c>
      <c r="GW15" s="2143">
        <v>8</v>
      </c>
      <c r="GX15" s="2143">
        <v>8</v>
      </c>
      <c r="GY15" s="2143">
        <v>8</v>
      </c>
      <c r="GZ15" s="2143">
        <v>8</v>
      </c>
      <c r="HA15" s="2143">
        <v>8</v>
      </c>
      <c r="HB15" s="2143">
        <v>8</v>
      </c>
      <c r="HC15" s="2143">
        <v>8</v>
      </c>
      <c r="HD15" s="2143">
        <v>8</v>
      </c>
      <c r="HE15" s="2143">
        <v>8</v>
      </c>
      <c r="HF15" s="2143">
        <v>8</v>
      </c>
      <c r="HG15" s="2143">
        <v>8</v>
      </c>
      <c r="HH15" s="2143">
        <v>8</v>
      </c>
      <c r="HI15" s="2143">
        <v>8</v>
      </c>
      <c r="HJ15" s="2143">
        <v>8</v>
      </c>
      <c r="HK15" s="2143">
        <v>8</v>
      </c>
      <c r="HL15" s="2143">
        <v>8</v>
      </c>
      <c r="HM15" s="2143">
        <v>8</v>
      </c>
      <c r="HN15" s="2143">
        <v>8</v>
      </c>
      <c r="HO15" s="2143">
        <v>8</v>
      </c>
      <c r="HP15" s="2143">
        <v>8</v>
      </c>
      <c r="HQ15" s="2143">
        <v>8</v>
      </c>
      <c r="HR15" s="2143">
        <v>8</v>
      </c>
      <c r="HS15" s="2143">
        <v>8</v>
      </c>
      <c r="HT15" s="2143">
        <v>8</v>
      </c>
      <c r="HU15" s="2143">
        <v>8</v>
      </c>
      <c r="HV15" s="2143">
        <v>8</v>
      </c>
      <c r="HW15" s="2143">
        <v>8</v>
      </c>
      <c r="HX15" s="2143">
        <v>8</v>
      </c>
      <c r="HY15" s="2143">
        <v>8</v>
      </c>
      <c r="HZ15" s="2143">
        <v>8</v>
      </c>
      <c r="IA15" s="2143">
        <v>8</v>
      </c>
      <c r="IB15" s="2143">
        <v>8</v>
      </c>
      <c r="IC15" s="2143">
        <v>8</v>
      </c>
      <c r="ID15" s="2143">
        <v>8</v>
      </c>
      <c r="IE15" s="2143">
        <v>8</v>
      </c>
      <c r="IF15" s="2143">
        <v>8</v>
      </c>
      <c r="IG15" s="2143">
        <v>8</v>
      </c>
      <c r="IH15" s="2143">
        <v>8</v>
      </c>
      <c r="II15" s="2143">
        <v>8</v>
      </c>
      <c r="IJ15" s="2143">
        <v>8</v>
      </c>
      <c r="IK15" s="2143">
        <v>8</v>
      </c>
      <c r="IL15" s="2143">
        <v>8</v>
      </c>
      <c r="IM15" s="2143">
        <v>8</v>
      </c>
      <c r="IN15" s="2143">
        <v>8</v>
      </c>
      <c r="IO15" s="2143">
        <v>8</v>
      </c>
      <c r="IP15" s="2143">
        <v>8</v>
      </c>
      <c r="IQ15" s="2143">
        <v>8</v>
      </c>
      <c r="IR15" s="2143">
        <v>8</v>
      </c>
      <c r="IS15" s="2143">
        <v>8</v>
      </c>
      <c r="IT15" s="2143">
        <v>8</v>
      </c>
      <c r="IU15" s="2143">
        <v>8</v>
      </c>
      <c r="IV15" s="2143">
        <v>8</v>
      </c>
      <c r="IW15" s="214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E047D8-BDF8-7782-25F6-69DAFC8C6219}" mc:Ignorable="x14ac xr xr2 xr3">
  <dimension ref="A1:Q19"/>
  <sheetViews>
    <sheetView topLeftCell="A1" showGridLines="0" zoomScale="90" workbookViewId="0">
      <selection activeCell="A1" sqref="A1"/>
    </sheetView>
  </sheetViews>
  <sheetFormatPr defaultColWidth="9.140625" customHeight="1" defaultRowHeight="14.25"/>
  <cols>
    <col min="1" max="1" style="50801" width="9.140625" hidden="1"/>
    <col min="2" max="2" style="50881" width="9.140625" hidden="1"/>
    <col min="3" max="3" style="50801" width="3.7109375" hidden="1" customWidth="1"/>
    <col min="4" max="4" style="50980" width="3.00390625" customWidth="1"/>
    <col min="5" max="5" style="50801" width="6.00390625" customWidth="1"/>
    <col min="6" max="6" style="50801" width="27.00390625" customWidth="1"/>
    <col min="7" max="7" style="50801" width="29.00390625" customWidth="1"/>
    <col min="8" max="8" style="50801" width="25.00390625" customWidth="1"/>
    <col min="9" max="9" style="50801" width="5.00390625" customWidth="1"/>
    <col min="10" max="10" style="50801" width="6.00390625" customWidth="1"/>
    <col min="11" max="11" style="50801" width="41.00390625" customWidth="1"/>
    <col min="12" max="12" style="50801" width="42.00390625" customWidth="1"/>
    <col min="13" max="13" style="50801" width="41.00390625" customWidth="1"/>
    <col min="14" max="14" style="50801" width="89.00390625" customWidth="1"/>
    <col min="15" max="15" style="50981" width="3.00390625" customWidth="1"/>
    <col min="16" max="16" style="50981" width="8.00390625" customWidth="1"/>
    <col min="17" max="17" style="50801" width="9.140625" hidden="1"/>
  </cols>
  <sheetData>
    <row customHeight="1" ht="22.5" hidden="1">
      <c r="Q1" s="1667" t="s">
        <v>14</v>
      </c>
    </row>
    <row s="50942" customFormat="1" customHeight="1" ht="22.5" hidden="1">
      <c r="A2" s="1008"/>
      <c r="B2" s="1672">
        <v>1</v>
      </c>
      <c r="C2" s="1672"/>
      <c r="D2" s="2440" t="s">
        <v>106</v>
      </c>
      <c r="E2" s="2639">
        <v>1</v>
      </c>
      <c r="F2" s="2815" t="str">
        <f>IF(region_name="","",region_name)</f>
        <v>Приморский край</v>
      </c>
      <c r="G2" s="2995"/>
      <c r="H2" s="2996"/>
      <c r="I2" s="986"/>
      <c r="J2" s="2422">
        <v>1</v>
      </c>
      <c r="K2" s="2424"/>
      <c r="L2" s="2424"/>
      <c r="M2" s="2424"/>
      <c r="N2" s="1004"/>
      <c r="O2" s="2047"/>
      <c r="P2" s="1023"/>
      <c r="Q2" s="935">
        <v>0</v>
      </c>
    </row>
    <row s="50942" customFormat="1" customHeight="1" ht="22.5" hidden="1">
      <c r="A3" s="1343"/>
      <c r="B3" s="1672"/>
      <c r="C3" s="1672"/>
      <c r="D3" s="1313"/>
      <c r="E3" s="2639"/>
      <c r="F3" s="2815"/>
      <c r="G3" s="2995"/>
      <c r="H3" s="2997"/>
      <c r="I3" s="933"/>
      <c r="J3" s="2012"/>
      <c r="K3" s="2012" t="s">
        <v>2020</v>
      </c>
      <c r="L3" s="2055"/>
      <c r="M3" s="2432"/>
      <c r="N3" s="2425"/>
      <c r="O3" s="2047"/>
      <c r="P3" s="1023"/>
      <c r="Q3" s="935">
        <v>0</v>
      </c>
    </row>
    <row s="50882" customFormat="1" customHeight="1" ht="5.25" hidden="1">
      <c r="A4" s="1008"/>
      <c r="D4" s="1006"/>
      <c r="F4" s="759" t="s">
        <v>85</v>
      </c>
      <c r="G4" s="1006" t="s">
        <v>86</v>
      </c>
      <c r="H4" s="1006"/>
      <c r="I4" s="2435"/>
      <c r="J4" s="2056"/>
      <c r="K4" s="2423"/>
      <c r="L4" s="2423"/>
      <c r="M4" s="2423"/>
      <c r="N4" s="2419"/>
      <c r="O4" s="759" t="s">
        <v>85</v>
      </c>
      <c r="P4" s="759"/>
      <c r="Q4" s="1023">
        <v>0</v>
      </c>
    </row>
    <row s="50942" customFormat="1" customHeight="1" ht="22.5" hidden="1">
      <c r="A5" s="2153"/>
      <c r="B5" s="1878">
        <v>1</v>
      </c>
      <c r="C5" s="1878"/>
      <c r="D5" s="1313"/>
      <c r="E5" s="2425"/>
      <c r="F5" s="2425"/>
      <c r="G5" s="2425"/>
      <c r="H5" s="2436"/>
      <c r="I5" s="2441" t="s">
        <v>106</v>
      </c>
      <c r="J5" s="2434">
        <v>1</v>
      </c>
      <c r="K5" s="2424"/>
      <c r="L5" s="2424"/>
      <c r="M5" s="2424"/>
      <c r="N5" s="1004"/>
      <c r="O5" s="2047"/>
      <c r="P5" s="2148"/>
      <c r="Q5" s="1136">
        <v>0</v>
      </c>
    </row>
    <row s="50897" customFormat="1" customHeight="1" ht="14.699999999999998">
      <c r="A6" s="1667"/>
      <c r="B6" s="1672"/>
      <c r="C6" s="1667"/>
      <c r="D6" s="2007"/>
      <c r="E6" s="1021"/>
      <c r="F6" s="1021"/>
      <c r="G6" s="1021"/>
      <c r="H6" s="1021"/>
      <c r="I6" s="1021"/>
      <c r="J6" s="1021"/>
      <c r="K6" s="1021"/>
      <c r="L6" s="1021"/>
      <c r="M6" s="1021"/>
      <c r="N6" s="2147"/>
      <c r="O6" s="759"/>
      <c r="P6" s="1012"/>
      <c r="Q6" s="1019">
        <v>14</v>
      </c>
    </row>
    <row s="50897" customFormat="1" customHeight="1" ht="27.299999999999997">
      <c r="A7" s="1667"/>
      <c r="B7" s="1672"/>
      <c r="C7" s="1667"/>
      <c r="D7" s="2007"/>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764"/>
      <c r="O7" s="759"/>
      <c r="P7" s="1012"/>
      <c r="Q7" s="1019">
        <v>26</v>
      </c>
    </row>
    <row s="50897" customFormat="1" customHeight="1" ht="14.699999999999998">
      <c r="A8" s="1667"/>
      <c r="B8" s="1672"/>
      <c r="C8" s="1667"/>
      <c r="D8" s="2007"/>
      <c r="E8" s="1021"/>
      <c r="F8" s="679"/>
      <c r="G8" s="679"/>
      <c r="H8" s="679"/>
      <c r="I8" s="679"/>
      <c r="J8" s="679"/>
      <c r="K8" s="679"/>
      <c r="L8" s="679"/>
      <c r="M8" s="679"/>
      <c r="N8" s="1128"/>
      <c r="O8" s="1012"/>
      <c r="P8" s="1012"/>
      <c r="Q8" s="1019">
        <v>14</v>
      </c>
    </row>
    <row s="61102" customFormat="1" customHeight="1" ht="14.25" hidden="1">
      <c r="A9" s="1980"/>
      <c r="B9" s="1990"/>
      <c r="C9" s="1980"/>
      <c r="D9" s="2007"/>
      <c r="E9" s="2426"/>
      <c r="F9" s="2426"/>
      <c r="G9" s="2426"/>
      <c r="H9" s="2426"/>
      <c r="I9" s="3005"/>
      <c r="J9" s="3005"/>
      <c r="K9" s="3005"/>
      <c r="L9" s="2426"/>
      <c r="M9" s="2427"/>
      <c r="O9" s="2057"/>
      <c r="P9" s="2057"/>
      <c r="Q9" s="2058">
        <v>0</v>
      </c>
    </row>
    <row s="50897" customFormat="1" customHeight="1" ht="14.699999999999998">
      <c r="A10" s="1667"/>
      <c r="B10" s="1672"/>
      <c r="C10" s="1667"/>
      <c r="D10" s="2007"/>
      <c r="E10" s="2639" t="s">
        <v>439</v>
      </c>
      <c r="F10" s="2639"/>
      <c r="G10" s="2639"/>
      <c r="H10" s="2639"/>
      <c r="I10" s="2639"/>
      <c r="J10" s="2639"/>
      <c r="K10" s="2639"/>
      <c r="L10" s="2639"/>
      <c r="M10" s="2613"/>
      <c r="N10" s="2990" t="s">
        <v>440</v>
      </c>
      <c r="O10" s="1012"/>
      <c r="P10" s="1012"/>
      <c r="Q10" s="1019">
        <v>14</v>
      </c>
    </row>
    <row s="50897" customFormat="1" customHeight="1" ht="44.25">
      <c r="A11" s="2143"/>
      <c r="B11" s="1878"/>
      <c r="C11" s="2143"/>
      <c r="D11" s="2027"/>
      <c r="E11" s="3004" t="s">
        <v>90</v>
      </c>
      <c r="F11" s="3004" t="s">
        <v>443</v>
      </c>
      <c r="G11" s="3004" t="s">
        <v>2021</v>
      </c>
      <c r="H11" s="3004"/>
      <c r="I11" s="3004" t="s">
        <v>2022</v>
      </c>
      <c r="J11" s="3004"/>
      <c r="K11" s="3004"/>
      <c r="L11" s="3004" t="s">
        <v>2023</v>
      </c>
      <c r="M11" s="2992" t="s">
        <v>2024</v>
      </c>
      <c r="N11" s="3003"/>
      <c r="O11" s="2136"/>
      <c r="P11" s="2136"/>
      <c r="Q11" s="2121">
        <v>42</v>
      </c>
    </row>
    <row s="50897" customFormat="1" customHeight="1" ht="29.25">
      <c r="A12" s="1667"/>
      <c r="B12" s="1672"/>
      <c r="C12" s="1667"/>
      <c r="D12" s="2007"/>
      <c r="E12" s="2990"/>
      <c r="F12" s="3004"/>
      <c r="G12" s="2421" t="s">
        <v>2025</v>
      </c>
      <c r="H12" s="2421" t="s">
        <v>447</v>
      </c>
      <c r="I12" s="3004"/>
      <c r="J12" s="3004"/>
      <c r="K12" s="3004"/>
      <c r="L12" s="3004"/>
      <c r="M12" s="2992"/>
      <c r="N12" s="2991"/>
      <c r="O12" s="1012"/>
      <c r="P12" s="1012"/>
      <c r="Q12" s="1019">
        <v>28</v>
      </c>
    </row>
    <row s="50942" customFormat="1" customHeight="1" ht="23.25">
      <c r="A13" s="2611">
        <v>26379339</v>
      </c>
      <c r="B13" s="1672">
        <v>1</v>
      </c>
      <c r="C13" s="1672"/>
      <c r="D13" s="1313"/>
      <c r="E13" s="2639">
        <v>1</v>
      </c>
      <c r="F13" s="2998" t="str">
        <f>IF(region_name="","",region_name)</f>
        <v>Приморский край</v>
      </c>
      <c r="G13" s="2999"/>
      <c r="H13" s="3006"/>
      <c r="I13" s="986"/>
      <c r="J13" s="2417">
        <v>1</v>
      </c>
      <c r="K13" s="2430"/>
      <c r="L13" s="2431"/>
      <c r="M13" s="2431"/>
      <c r="N13" s="3000" t="s">
        <v>2026</v>
      </c>
      <c r="O13" s="2047"/>
      <c r="P13" s="1023"/>
      <c r="Q13" s="935">
        <v>22</v>
      </c>
    </row>
    <row s="50942" customFormat="1" customHeight="1" ht="23.25">
      <c r="A14" s="2611"/>
      <c r="B14" s="1672"/>
      <c r="C14" s="1672"/>
      <c r="D14" s="1313"/>
      <c r="E14" s="2639"/>
      <c r="F14" s="2998"/>
      <c r="G14" s="2999"/>
      <c r="H14" s="3007"/>
      <c r="I14" s="933"/>
      <c r="J14" s="2012"/>
      <c r="K14" s="2012" t="s">
        <v>2020</v>
      </c>
      <c r="L14" s="2055"/>
      <c r="M14" s="2055"/>
      <c r="N14" s="3001"/>
      <c r="O14" s="2047"/>
      <c r="P14" s="1023"/>
      <c r="Q14" s="935">
        <v>22</v>
      </c>
    </row>
    <row s="50942" customFormat="1" customHeight="1" ht="23.25">
      <c r="A15" s="2611"/>
      <c r="B15" s="1672"/>
      <c r="C15" s="924"/>
      <c r="D15" s="1313"/>
      <c r="E15" s="933"/>
      <c r="F15" s="2012" t="s">
        <v>2012</v>
      </c>
      <c r="G15" s="2054"/>
      <c r="H15" s="2054"/>
      <c r="I15" s="699"/>
      <c r="J15" s="699"/>
      <c r="K15" s="699"/>
      <c r="L15" s="699"/>
      <c r="M15" s="699"/>
      <c r="N15" s="3001"/>
      <c r="O15" s="2048"/>
      <c r="P15" s="1023"/>
      <c r="Q15" s="935">
        <v>22</v>
      </c>
    </row>
    <row s="50897" customFormat="1" customHeight="1" ht="22.049999999999997">
      <c r="A16" s="1667"/>
      <c r="B16" s="1672"/>
      <c r="C16" s="1667"/>
      <c r="D16" s="963"/>
      <c r="E16" s="692"/>
      <c r="F16" s="692"/>
      <c r="G16" s="692"/>
      <c r="H16" s="692"/>
      <c r="I16" s="692"/>
      <c r="J16" s="692"/>
      <c r="K16" s="692"/>
      <c r="L16" s="692"/>
      <c r="M16" s="1021"/>
      <c r="N16" s="2147"/>
      <c r="O16" s="1012"/>
      <c r="P16" s="1012"/>
      <c r="Q16" s="1019">
        <v>21</v>
      </c>
    </row>
    <row s="50897" customFormat="1" customHeight="1" ht="14.699999999999998">
      <c r="A17" s="1667"/>
      <c r="B17" s="1672"/>
      <c r="C17" s="1667"/>
      <c r="D17" s="963"/>
      <c r="E17" s="1667"/>
      <c r="F17" s="1667"/>
      <c r="G17" s="1667"/>
      <c r="H17" s="1667"/>
      <c r="I17" s="1667"/>
      <c r="J17" s="1667"/>
      <c r="K17" s="1667"/>
      <c r="L17" s="1667"/>
      <c r="M17" s="1667"/>
      <c r="N17" s="2143"/>
      <c r="O17" s="1012"/>
      <c r="P17" s="1012"/>
      <c r="Q17" s="1019">
        <v>14</v>
      </c>
    </row>
    <row s="50897" customFormat="1" customHeight="1" ht="1.05">
      <c r="A18" s="1667"/>
      <c r="B18" s="1672"/>
      <c r="C18" s="1667"/>
      <c r="D18" s="963"/>
      <c r="E18" s="1667"/>
      <c r="F18" s="1667"/>
      <c r="G18" s="1667"/>
      <c r="H18" s="1667"/>
      <c r="I18" s="1667"/>
      <c r="J18" s="1667"/>
      <c r="K18" s="1667"/>
      <c r="L18" s="1667"/>
      <c r="M18" s="1667"/>
      <c r="N18" s="2143"/>
      <c r="O18" s="1012"/>
      <c r="P18" s="1012"/>
      <c r="Q18" s="1019">
        <v>1</v>
      </c>
    </row>
    <row customHeight="1" ht="22.5" hidden="1">
      <c r="A19" s="1667" t="s">
        <v>84</v>
      </c>
      <c r="B19" s="1672">
        <v>0</v>
      </c>
      <c r="C19" s="1667">
        <v>0</v>
      </c>
      <c r="D19" s="963">
        <v>3</v>
      </c>
      <c r="E19" s="1667">
        <v>6</v>
      </c>
      <c r="F19" s="1667">
        <v>27</v>
      </c>
      <c r="G19" s="1667">
        <v>29</v>
      </c>
      <c r="H19" s="1667">
        <v>25</v>
      </c>
      <c r="I19" s="1667">
        <v>5</v>
      </c>
      <c r="J19" s="1667">
        <v>6</v>
      </c>
      <c r="K19" s="1667">
        <v>41</v>
      </c>
      <c r="L19" s="1667">
        <v>42</v>
      </c>
      <c r="M19" s="1667">
        <v>41</v>
      </c>
      <c r="N19" s="2143">
        <v>89</v>
      </c>
      <c r="O19" s="1012">
        <v>3</v>
      </c>
      <c r="P19" s="1012">
        <v>8</v>
      </c>
      <c r="Q19" s="166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671C5A-5A0E-46D8-D2F6-C3CB89534919}"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51431" width="9.140625" hidden="1"/>
    <col min="2" max="2" style="60860" width="9.140625" hidden="1"/>
    <col min="3" max="3" style="61142" width="3.00390625" customWidth="1"/>
    <col min="4" max="4" style="60860" width="6.00390625" customWidth="1"/>
    <col min="5" max="5" style="60860" width="22.00390625" customWidth="1"/>
    <col min="6" max="6" style="60860" width="15.00390625" customWidth="1"/>
    <col min="7" max="7" style="60860" width="14.00390625" customWidth="1"/>
    <col min="8" max="8" style="60860" width="47.00390625" customWidth="1"/>
    <col min="9" max="9" style="60860" width="115.00390625" customWidth="1"/>
    <col min="10" max="10" style="60860" width="3.00390625" customWidth="1"/>
    <col min="11" max="12" style="60860" width="8.00390625" customWidth="1"/>
    <col min="13" max="13" style="60860" width="9.140625" hidden="1"/>
  </cols>
  <sheetData>
    <row customHeight="1" ht="14.25" hidden="1">
      <c r="M1" s="633" t="s">
        <v>14</v>
      </c>
    </row>
    <row customHeight="1" ht="14.25" hidden="1">
      <c r="M2" s="633">
        <v>0</v>
      </c>
    </row>
    <row customHeight="1" ht="14.25" hidden="1">
      <c r="M3" s="633">
        <v>0</v>
      </c>
    </row>
    <row customHeight="1" ht="3">
      <c r="M4" s="633">
        <v>3</v>
      </c>
    </row>
    <row s="50801" customFormat="1" customHeight="1" ht="31.5">
      <c r="A5" s="627"/>
      <c r="C5" s="602"/>
      <c r="D5" s="2612" t="s">
        <v>2027</v>
      </c>
      <c r="E5" s="2612"/>
      <c r="F5" s="2612"/>
      <c r="G5" s="2612"/>
      <c r="H5" s="2612"/>
      <c r="I5" s="777"/>
      <c r="M5" s="595">
        <v>30</v>
      </c>
    </row>
    <row customHeight="1" ht="3" hidden="1">
      <c r="D6" s="634"/>
      <c r="E6" s="634"/>
      <c r="F6" s="634"/>
      <c r="G6" s="634"/>
      <c r="H6" s="634"/>
      <c r="I6" s="634"/>
      <c r="M6" s="633">
        <v>0</v>
      </c>
    </row>
    <row s="51431" customFormat="1" customHeight="1" ht="14.699999999999998">
      <c r="B7" s="631"/>
      <c r="C7" s="632"/>
      <c r="D7" s="635"/>
      <c r="E7" s="635"/>
      <c r="F7" s="635"/>
      <c r="G7" s="635"/>
      <c r="H7" s="1264"/>
      <c r="I7" s="635"/>
      <c r="J7" s="636"/>
      <c r="M7" s="630">
        <v>14</v>
      </c>
    </row>
    <row customHeight="1" ht="14.699999999999998">
      <c r="D8" s="2721" t="s">
        <v>439</v>
      </c>
      <c r="E8" s="2721"/>
      <c r="F8" s="2721"/>
      <c r="G8" s="2721"/>
      <c r="H8" s="2721"/>
      <c r="I8" s="2721" t="s">
        <v>440</v>
      </c>
      <c r="M8" s="633">
        <v>14</v>
      </c>
    </row>
    <row customHeight="1" ht="29.25">
      <c r="D9" s="2721" t="s">
        <v>90</v>
      </c>
      <c r="E9" s="2721" t="s">
        <v>2028</v>
      </c>
      <c r="F9" s="2721"/>
      <c r="G9" s="2721"/>
      <c r="H9" s="2721"/>
      <c r="I9" s="2721"/>
      <c r="M9" s="633">
        <v>28</v>
      </c>
    </row>
    <row customHeight="1" ht="24">
      <c r="D10" s="2721"/>
      <c r="E10" s="639" t="s">
        <v>2029</v>
      </c>
      <c r="F10" s="639" t="s">
        <v>2030</v>
      </c>
      <c r="G10" s="639" t="s">
        <v>2031</v>
      </c>
      <c r="H10" s="639" t="s">
        <v>529</v>
      </c>
      <c r="I10" s="2721"/>
      <c r="M10" s="633">
        <v>23</v>
      </c>
    </row>
    <row customHeight="1" ht="12" hidden="1">
      <c r="D11" s="599" t="s">
        <v>101</v>
      </c>
      <c r="E11" s="599" t="s">
        <v>93</v>
      </c>
      <c r="F11" s="599" t="s">
        <v>121</v>
      </c>
      <c r="G11" s="599" t="s">
        <v>94</v>
      </c>
      <c r="H11" s="599" t="s">
        <v>95</v>
      </c>
      <c r="I11" s="599" t="s">
        <v>135</v>
      </c>
      <c r="M11" s="633">
        <v>0</v>
      </c>
    </row>
    <row s="60860" customFormat="1" customHeight="1" ht="26.25">
      <c r="A12" s="657" t="s">
        <v>92</v>
      </c>
      <c r="B12" s="637" t="s">
        <v>28</v>
      </c>
      <c r="C12" s="638"/>
      <c r="D12" s="640" t="s">
        <v>101</v>
      </c>
      <c r="E12" s="893"/>
      <c r="F12" s="893"/>
      <c r="G12" s="2246" t="s">
        <v>28</v>
      </c>
      <c r="H12" s="894"/>
      <c r="I12" s="2681" t="s">
        <v>2032</v>
      </c>
      <c r="K12" s="784"/>
      <c r="L12" s="785"/>
      <c r="M12" s="629">
        <v>25</v>
      </c>
    </row>
    <row customHeight="1" ht="15.75">
      <c r="A13" s="633"/>
      <c r="B13" s="633"/>
      <c r="C13" s="633"/>
      <c r="D13" s="621"/>
      <c r="E13" s="642" t="s">
        <v>604</v>
      </c>
      <c r="F13" s="641"/>
      <c r="G13" s="641"/>
      <c r="H13" s="726"/>
      <c r="I13" s="2683"/>
      <c r="M13" s="633">
        <v>15</v>
      </c>
    </row>
    <row customHeight="1" ht="3">
      <c r="A14" s="633"/>
      <c r="B14" s="633"/>
      <c r="C14" s="633"/>
      <c r="M14" s="633">
        <v>3</v>
      </c>
    </row>
    <row customHeight="1" ht="29.25">
      <c r="E15" s="3008" t="s">
        <v>2033</v>
      </c>
      <c r="F15" s="3008"/>
      <c r="G15" s="3008"/>
      <c r="H15" s="3008"/>
      <c r="M15" s="633">
        <v>28</v>
      </c>
    </row>
    <row customHeight="1" ht="14.25" hidden="1">
      <c r="A16" s="630" t="s">
        <v>84</v>
      </c>
      <c r="B16" s="631">
        <v>0</v>
      </c>
      <c r="C16" s="632">
        <v>3</v>
      </c>
      <c r="D16" s="633">
        <v>6</v>
      </c>
      <c r="E16" s="633">
        <v>22</v>
      </c>
      <c r="F16" s="633">
        <v>15</v>
      </c>
      <c r="G16" s="633">
        <v>14</v>
      </c>
      <c r="H16" s="633">
        <v>47</v>
      </c>
      <c r="I16" s="633">
        <v>115</v>
      </c>
      <c r="J16" s="633">
        <v>3</v>
      </c>
      <c r="K16" s="633">
        <v>8</v>
      </c>
      <c r="L16" s="633">
        <v>8</v>
      </c>
      <c r="M16" s="63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FCA935-9C81-2128-4381-774B2EEB9AEA}" mc:Ignorable="x14ac xr xr2 xr3">
  <sheetPr>
    <tabColor rgb="FFCCCCFF"/>
    <pageSetUpPr fitToPage="1"/>
  </sheetPr>
  <dimension ref="A1:J16"/>
  <sheetViews>
    <sheetView topLeftCell="A1" showGridLines="0" zoomScale="90" workbookViewId="0">
      <selection activeCell="E12" sqref="E12"/>
    </sheetView>
  </sheetViews>
  <sheetFormatPr defaultColWidth="9.140625" customHeight="1" defaultRowHeight="14.25"/>
  <cols>
    <col min="1" max="2" style="61161" width="9.140625" hidden="1"/>
    <col min="3" max="3" style="61162" width="3.00390625" customWidth="1"/>
    <col min="4" max="4" style="61161" width="6.00390625" customWidth="1"/>
    <col min="5" max="5" style="61161" width="94.00390625" customWidth="1"/>
    <col min="6" max="9" style="61161" width="8.00390625" customWidth="1"/>
    <col min="10" max="10" style="61161" width="9.140625" hidden="1"/>
  </cols>
  <sheetData>
    <row customHeight="1" ht="14.25" hidden="1">
      <c r="J1" s="581" t="s">
        <v>14</v>
      </c>
    </row>
    <row customHeight="1" ht="14.25" hidden="1">
      <c r="J2" s="581">
        <v>0</v>
      </c>
    </row>
    <row customHeight="1" ht="14.25" hidden="1">
      <c r="J3" s="581">
        <v>0</v>
      </c>
    </row>
    <row customHeight="1" ht="14.25" hidden="1">
      <c r="J4" s="581">
        <v>0</v>
      </c>
    </row>
    <row customHeight="1" ht="14.25" hidden="1">
      <c r="J5" s="581">
        <v>0</v>
      </c>
    </row>
    <row customHeight="1" ht="3">
      <c r="C6" s="604"/>
      <c r="D6" s="582"/>
      <c r="E6" s="582"/>
      <c r="J6" s="581">
        <v>3</v>
      </c>
    </row>
    <row customHeight="1" ht="23.25">
      <c r="C7" s="604"/>
      <c r="D7" s="3009" t="s">
        <v>2034</v>
      </c>
      <c r="E7" s="3010"/>
      <c r="F7" s="779"/>
      <c r="J7" s="581">
        <v>22</v>
      </c>
    </row>
    <row customHeight="1" ht="3">
      <c r="C8" s="604"/>
      <c r="D8" s="582"/>
      <c r="E8" s="582"/>
      <c r="J8" s="581">
        <v>3</v>
      </c>
    </row>
    <row customHeight="1" ht="16.8">
      <c r="C9" s="604"/>
      <c r="D9" s="617" t="s">
        <v>90</v>
      </c>
      <c r="E9" s="772" t="s">
        <v>2035</v>
      </c>
      <c r="J9" s="581">
        <v>16</v>
      </c>
    </row>
    <row customHeight="1" ht="1.05">
      <c r="C10" s="604"/>
      <c r="D10" s="599"/>
      <c r="E10" s="599"/>
      <c r="J10" s="581">
        <v>1</v>
      </c>
    </row>
    <row customHeight="1" ht="11.25" hidden="1">
      <c r="C11" s="604"/>
      <c r="D11" s="662">
        <v>0</v>
      </c>
      <c r="E11" s="773"/>
      <c r="J11" s="581">
        <v>0</v>
      </c>
    </row>
    <row customHeight="1" ht="15.75">
      <c r="C12" s="648"/>
      <c r="D12" s="625">
        <v>1</v>
      </c>
      <c r="E12" s="889" t="s">
        <v>2036</v>
      </c>
      <c r="J12" s="581">
        <v>15</v>
      </c>
    </row>
    <row customHeight="1" ht="12.75">
      <c r="C13" s="604"/>
      <c r="D13" s="774"/>
      <c r="E13" s="775" t="s">
        <v>2037</v>
      </c>
      <c r="J13" s="581">
        <v>12</v>
      </c>
    </row>
    <row customHeight="1" ht="3">
      <c r="J14" s="581">
        <v>3</v>
      </c>
    </row>
    <row customHeight="1" ht="23.25">
      <c r="C15" s="649"/>
      <c r="D15" s="3011" t="s">
        <v>2038</v>
      </c>
      <c r="E15" s="3011"/>
      <c r="F15" s="650"/>
      <c r="G15" s="650"/>
      <c r="H15" s="650"/>
      <c r="I15" s="650"/>
      <c r="J15" s="581">
        <v>22</v>
      </c>
    </row>
    <row customHeight="1" ht="14.25" hidden="1">
      <c r="A16" s="581" t="s">
        <v>84</v>
      </c>
      <c r="B16" s="581">
        <v>0</v>
      </c>
      <c r="C16" s="603">
        <v>3</v>
      </c>
      <c r="D16" s="581">
        <v>6</v>
      </c>
      <c r="E16" s="581">
        <v>94</v>
      </c>
      <c r="F16" s="581">
        <v>8</v>
      </c>
      <c r="G16" s="581">
        <v>8</v>
      </c>
      <c r="H16" s="581">
        <v>8</v>
      </c>
      <c r="I16" s="581">
        <v>8</v>
      </c>
      <c r="J16" s="58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7E6A6D-9034-43BE-4855-EEA201EAD414}"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61161" width="9.140625" hidden="1"/>
    <col min="3" max="3" style="61162" width="3.00390625" customWidth="1"/>
    <col min="4" max="4" style="61161" width="6.00390625" customWidth="1"/>
    <col min="5" max="5" style="61161" width="94.00390625" customWidth="1"/>
    <col min="6" max="12" style="61161" width="8.00390625" customWidth="1"/>
    <col min="13" max="13" style="61161" width="9.140625" hidden="1"/>
  </cols>
  <sheetData>
    <row customHeight="1" ht="14.25" hidden="1">
      <c r="L1" s="776"/>
      <c r="M1" s="581" t="s">
        <v>14</v>
      </c>
    </row>
    <row customHeight="1" ht="14.25" hidden="1">
      <c r="M2" s="581">
        <v>0</v>
      </c>
    </row>
    <row customHeight="1" ht="14.25" hidden="1">
      <c r="M3" s="581">
        <v>0</v>
      </c>
    </row>
    <row customHeight="1" ht="14.25" hidden="1">
      <c r="M4" s="581">
        <v>0</v>
      </c>
    </row>
    <row customHeight="1" ht="14.25" hidden="1">
      <c r="M5" s="581">
        <v>0</v>
      </c>
    </row>
    <row customHeight="1" ht="3">
      <c r="C6" s="604"/>
      <c r="D6" s="582"/>
      <c r="E6" s="582"/>
      <c r="M6" s="581">
        <v>3</v>
      </c>
    </row>
    <row customHeight="1" ht="23.25">
      <c r="C7" s="604"/>
      <c r="D7" s="2612" t="s">
        <v>2039</v>
      </c>
      <c r="E7" s="2612"/>
      <c r="F7" s="779"/>
      <c r="M7" s="581">
        <v>22</v>
      </c>
    </row>
    <row customHeight="1" ht="3">
      <c r="C8" s="604"/>
      <c r="D8" s="582"/>
      <c r="E8" s="582"/>
      <c r="M8" s="581">
        <v>3</v>
      </c>
    </row>
    <row customHeight="1" ht="16.8">
      <c r="C9" s="604"/>
      <c r="D9" s="617" t="s">
        <v>90</v>
      </c>
      <c r="E9" s="620" t="s">
        <v>426</v>
      </c>
      <c r="M9" s="581">
        <v>16</v>
      </c>
    </row>
    <row customHeight="1" ht="12.75">
      <c r="C10" s="604"/>
      <c r="D10" s="599" t="s">
        <v>101</v>
      </c>
      <c r="E10" s="599" t="s">
        <v>105</v>
      </c>
      <c r="M10" s="581">
        <v>12</v>
      </c>
    </row>
    <row customHeight="1" ht="15" hidden="1">
      <c r="C11" s="604"/>
      <c r="D11" s="625">
        <v>0</v>
      </c>
      <c r="E11" s="661"/>
      <c r="M11" s="581">
        <v>0</v>
      </c>
    </row>
    <row customHeight="1" ht="14.699999999999998">
      <c r="C12" s="604"/>
      <c r="D12" s="621"/>
      <c r="E12" s="619" t="s">
        <v>2037</v>
      </c>
      <c r="M12" s="581">
        <v>14</v>
      </c>
    </row>
    <row customHeight="1" ht="14.25" hidden="1">
      <c r="A13" s="581" t="s">
        <v>84</v>
      </c>
      <c r="B13" s="581">
        <v>0</v>
      </c>
      <c r="C13" s="603">
        <v>3</v>
      </c>
      <c r="D13" s="581">
        <v>6</v>
      </c>
      <c r="E13" s="581">
        <v>94</v>
      </c>
      <c r="F13" s="581">
        <v>8</v>
      </c>
      <c r="G13" s="581">
        <v>8</v>
      </c>
      <c r="H13" s="581">
        <v>8</v>
      </c>
      <c r="I13" s="581">
        <v>8</v>
      </c>
      <c r="J13" s="581">
        <v>8</v>
      </c>
      <c r="K13" s="581">
        <v>8</v>
      </c>
      <c r="L13" s="581">
        <v>8</v>
      </c>
      <c r="M13" s="581">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AF9195-856B-F437-40E4-AFE046BDE53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50942" width="9.140625" hidden="1"/>
    <col min="3" max="4" style="50942" width="3.00390625" customWidth="1"/>
    <col min="5" max="6" style="50942" width="15.00390625" customWidth="1"/>
    <col min="7" max="7" style="50942" width="11.57421875" customWidth="1"/>
    <col min="8" max="9" style="50942" width="3.00390625" customWidth="1"/>
    <col min="10" max="10" style="50942" width="12.00390625" customWidth="1"/>
    <col min="11" max="11" style="50942" width="0.28125" customWidth="1"/>
    <col min="12" max="13" style="50942" width="10.00390625" customWidth="1"/>
    <col min="14" max="15" style="50942" width="3.00390625" customWidth="1"/>
    <col min="16" max="16" style="50942" width="19.00390625" customWidth="1"/>
    <col min="17" max="17" style="50942" width="0.28125" customWidth="1"/>
    <col min="18" max="19" style="50942" width="10.00390625" customWidth="1"/>
    <col min="20" max="21" style="50942" width="3.00390625" customWidth="1"/>
    <col min="22" max="22" style="50942" width="25.00390625" customWidth="1"/>
    <col min="23" max="23" style="50942" width="0.28125" customWidth="1"/>
    <col min="24" max="25" style="50942" width="10.00390625" customWidth="1"/>
    <col min="26" max="27" style="50942" width="3.00390625" customWidth="1"/>
    <col min="28" max="28" style="50942" width="16.00390625" customWidth="1"/>
    <col min="29" max="29" style="50942" width="0.28125" customWidth="1"/>
    <col min="30" max="31" style="50942" width="10.00390625" customWidth="1"/>
    <col min="32" max="33" style="50942" width="3.00390625" customWidth="1"/>
    <col min="34" max="34" style="50942" width="8.00390625" customWidth="1"/>
    <col min="35" max="35" style="50942" width="21.00390625" customWidth="1"/>
    <col min="36" max="36" style="50942" width="8.00390625" customWidth="1"/>
    <col min="37" max="37" style="51431" width="8.00390625" customWidth="1"/>
    <col min="38" max="64" style="50942" width="8.00390625" customWidth="1"/>
    <col min="65" max="65" style="50942" width="9.140625" hidden="1"/>
  </cols>
  <sheetData>
    <row s="51357" customFormat="1" customHeight="1" ht="11.25" hidden="1">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1" t="s">
        <v>14</v>
      </c>
    </row>
    <row s="51358" customFormat="1" customHeight="1" ht="11.25" hidden="1">
      <c r="L2" s="2065" t="s">
        <v>418</v>
      </c>
      <c r="M2" s="2065" t="s">
        <v>419</v>
      </c>
      <c r="R2" s="2065" t="s">
        <v>420</v>
      </c>
      <c r="S2" s="2065" t="s">
        <v>419</v>
      </c>
      <c r="X2" s="2065" t="s">
        <v>418</v>
      </c>
      <c r="Y2" s="2065" t="s">
        <v>419</v>
      </c>
      <c r="AD2" s="2065" t="s">
        <v>418</v>
      </c>
      <c r="AE2" s="2065" t="s">
        <v>419</v>
      </c>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87"/>
      <c r="BK2" s="2087"/>
      <c r="BL2" s="2087"/>
      <c r="BM2" s="2065">
        <v>0</v>
      </c>
    </row>
    <row s="51361" customFormat="1" customHeight="1" ht="11.549999999999999">
      <c r="AJ3" s="2086"/>
      <c r="AK3" s="818"/>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2086"/>
      <c r="BH3" s="2086"/>
      <c r="BI3" s="2086"/>
      <c r="BJ3" s="2086"/>
      <c r="BK3" s="2086"/>
      <c r="BL3" s="2086"/>
      <c r="BM3" s="2066">
        <v>11</v>
      </c>
    </row>
    <row s="50897" customFormat="1" customHeight="1" ht="34.5">
      <c r="A4" s="1668"/>
      <c r="B4" s="1667"/>
      <c r="C4" s="2027"/>
      <c r="D4" s="2703" t="s">
        <v>421</v>
      </c>
      <c r="E4" s="2703"/>
      <c r="F4" s="2703"/>
      <c r="G4" s="2703"/>
      <c r="H4" s="2703"/>
      <c r="I4" s="2703"/>
      <c r="J4" s="2703"/>
      <c r="K4" s="1211"/>
      <c r="T4" s="2067"/>
      <c r="AJ4" s="2088"/>
      <c r="AK4" s="2089"/>
      <c r="AL4" s="2088"/>
      <c r="AM4" s="2088"/>
      <c r="AN4" s="2088"/>
      <c r="AO4" s="2088"/>
      <c r="AP4" s="2088"/>
      <c r="AQ4" s="2088"/>
      <c r="AR4" s="2088"/>
      <c r="AS4" s="2088"/>
      <c r="AT4" s="2088"/>
      <c r="AU4" s="2088"/>
      <c r="AV4" s="2088"/>
      <c r="AW4" s="2088"/>
      <c r="AX4" s="2088"/>
      <c r="AY4" s="2088"/>
      <c r="AZ4" s="2088"/>
      <c r="BA4" s="2088"/>
      <c r="BB4" s="2088"/>
      <c r="BC4" s="2088"/>
      <c r="BD4" s="2088"/>
      <c r="BE4" s="2088"/>
      <c r="BF4" s="2088"/>
      <c r="BG4" s="2088"/>
      <c r="BH4" s="2088"/>
      <c r="BI4" s="2088"/>
      <c r="BJ4" s="2088"/>
      <c r="BK4" s="2088"/>
      <c r="BL4" s="2088"/>
      <c r="BM4" s="1019">
        <v>33</v>
      </c>
    </row>
    <row s="50897" customFormat="1" customHeight="1" ht="14.699999999999998">
      <c r="A5" s="2144"/>
      <c r="B5" s="2143"/>
      <c r="C5" s="2027"/>
      <c r="D5" s="2688" t="str">
        <f>IF(org=0,"Не определено",org)</f>
        <v>КГУП "Примтеплоэнерго"</v>
      </c>
      <c r="E5" s="2688"/>
      <c r="F5" s="2688"/>
      <c r="G5" s="2688"/>
      <c r="H5" s="2688"/>
      <c r="I5" s="2688"/>
      <c r="J5" s="2688"/>
      <c r="K5" s="1211"/>
      <c r="T5" s="2067"/>
      <c r="AJ5" s="2088"/>
      <c r="AK5" s="2089"/>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121">
        <v>14</v>
      </c>
    </row>
    <row s="50897" customFormat="1" customHeight="1" ht="14.699999999999998">
      <c r="A6" s="1668"/>
      <c r="B6" s="1667"/>
      <c r="C6" s="2027"/>
      <c r="D6" s="1211"/>
      <c r="E6" s="1211"/>
      <c r="F6" s="1211"/>
      <c r="G6" s="1211"/>
      <c r="H6" s="1211"/>
      <c r="I6" s="1211"/>
      <c r="J6" s="1211"/>
      <c r="K6" s="1211"/>
      <c r="T6" s="2067"/>
      <c r="AJ6" s="2088"/>
      <c r="AK6" s="2089"/>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2088"/>
      <c r="BH6" s="2088"/>
      <c r="BI6" s="2088"/>
      <c r="BJ6" s="2088"/>
      <c r="BK6" s="2088"/>
      <c r="BL6" s="2088"/>
      <c r="BM6" s="1019">
        <v>14</v>
      </c>
    </row>
    <row s="51357" customFormat="1" customHeight="1" ht="1.05">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1">
        <v>1</v>
      </c>
    </row>
    <row customHeight="1" ht="33.75">
      <c r="D8" s="2639" t="s">
        <v>90</v>
      </c>
      <c r="E8" s="2639" t="s">
        <v>175</v>
      </c>
      <c r="F8" s="2704" t="s">
        <v>188</v>
      </c>
      <c r="G8" s="2705"/>
      <c r="H8" s="2704" t="s">
        <v>90</v>
      </c>
      <c r="I8" s="2705"/>
      <c r="J8" s="2639" t="s">
        <v>189</v>
      </c>
      <c r="K8" s="2068"/>
      <c r="L8" s="2708" t="s">
        <v>422</v>
      </c>
      <c r="M8" s="2708"/>
      <c r="N8" s="2708"/>
      <c r="O8" s="2708"/>
      <c r="P8" s="2708"/>
      <c r="Q8" s="2069"/>
      <c r="R8" s="2608" t="s">
        <v>423</v>
      </c>
      <c r="S8" s="2709"/>
      <c r="T8" s="2709"/>
      <c r="U8" s="2709"/>
      <c r="V8" s="2709"/>
      <c r="W8" s="2069"/>
      <c r="X8" s="2710" t="s">
        <v>424</v>
      </c>
      <c r="Y8" s="2710"/>
      <c r="Z8" s="2710"/>
      <c r="AA8" s="2710"/>
      <c r="AB8" s="2710"/>
      <c r="AC8" s="2070"/>
      <c r="AD8" s="2639" t="s">
        <v>425</v>
      </c>
      <c r="AE8" s="2639"/>
      <c r="AF8" s="2639"/>
      <c r="AG8" s="2639"/>
      <c r="AH8" s="2613"/>
      <c r="AI8" s="2639" t="s">
        <v>426</v>
      </c>
      <c r="AJ8" s="2086"/>
      <c r="BM8" s="805">
        <v>32</v>
      </c>
    </row>
    <row customHeight="1" ht="23.25">
      <c r="D9" s="2639"/>
      <c r="E9" s="2639"/>
      <c r="F9" s="2687" t="s">
        <v>91</v>
      </c>
      <c r="G9" s="2687" t="s">
        <v>194</v>
      </c>
      <c r="H9" s="2706"/>
      <c r="I9" s="2707"/>
      <c r="J9" s="2613"/>
      <c r="K9" s="2071"/>
      <c r="L9" s="2639" t="s">
        <v>427</v>
      </c>
      <c r="M9" s="2613"/>
      <c r="N9" s="2704" t="s">
        <v>90</v>
      </c>
      <c r="O9" s="2705"/>
      <c r="P9" s="2639" t="s">
        <v>195</v>
      </c>
      <c r="Q9" s="2068"/>
      <c r="R9" s="2639" t="s">
        <v>427</v>
      </c>
      <c r="S9" s="2613"/>
      <c r="T9" s="2704" t="s">
        <v>90</v>
      </c>
      <c r="U9" s="2705"/>
      <c r="V9" s="2639" t="s">
        <v>195</v>
      </c>
      <c r="W9" s="2068"/>
      <c r="X9" s="2639" t="s">
        <v>427</v>
      </c>
      <c r="Y9" s="2613"/>
      <c r="Z9" s="2704" t="s">
        <v>90</v>
      </c>
      <c r="AA9" s="2705"/>
      <c r="AB9" s="2639" t="s">
        <v>428</v>
      </c>
      <c r="AC9" s="2068"/>
      <c r="AD9" s="2639" t="s">
        <v>427</v>
      </c>
      <c r="AE9" s="2613"/>
      <c r="AF9" s="2704" t="s">
        <v>90</v>
      </c>
      <c r="AG9" s="2705"/>
      <c r="AH9" s="2613" t="s">
        <v>428</v>
      </c>
      <c r="AI9" s="2639"/>
      <c r="AJ9" s="2086"/>
      <c r="BM9" s="805">
        <v>22</v>
      </c>
    </row>
    <row customHeight="1" ht="24">
      <c r="D10" s="2687"/>
      <c r="E10" s="2687"/>
      <c r="F10" s="2711"/>
      <c r="G10" s="2711"/>
      <c r="H10" s="2712"/>
      <c r="I10" s="2713"/>
      <c r="J10" s="2704"/>
      <c r="K10" s="2071"/>
      <c r="L10" s="2090" t="s">
        <v>429</v>
      </c>
      <c r="M10" s="2085" t="s">
        <v>430</v>
      </c>
      <c r="N10" s="2706"/>
      <c r="O10" s="2707"/>
      <c r="P10" s="2687"/>
      <c r="Q10" s="2068"/>
      <c r="R10" s="2090" t="s">
        <v>429</v>
      </c>
      <c r="S10" s="2085" t="s">
        <v>430</v>
      </c>
      <c r="T10" s="2706"/>
      <c r="U10" s="2707"/>
      <c r="V10" s="2687"/>
      <c r="W10" s="2068"/>
      <c r="X10" s="2090" t="s">
        <v>429</v>
      </c>
      <c r="Y10" s="2085" t="s">
        <v>430</v>
      </c>
      <c r="Z10" s="2706"/>
      <c r="AA10" s="2707"/>
      <c r="AB10" s="2687"/>
      <c r="AC10" s="2068"/>
      <c r="AD10" s="2090" t="s">
        <v>429</v>
      </c>
      <c r="AE10" s="2085" t="s">
        <v>430</v>
      </c>
      <c r="AF10" s="2706"/>
      <c r="AG10" s="2707"/>
      <c r="AH10" s="2704"/>
      <c r="AI10" s="2687"/>
      <c r="AJ10" s="2086"/>
      <c r="AK10" s="766" t="s">
        <v>431</v>
      </c>
      <c r="AL10" s="766" t="s">
        <v>196</v>
      </c>
      <c r="BM10" s="805">
        <v>23</v>
      </c>
    </row>
    <row customHeight="1" ht="15">
      <c r="D11" s="2695" t="s">
        <v>101</v>
      </c>
      <c r="E11" s="2691" t="s">
        <v>432</v>
      </c>
      <c r="F11" s="2691" t="s">
        <v>433</v>
      </c>
      <c r="G11" s="2697" t="s">
        <v>19</v>
      </c>
      <c r="H11" s="2111"/>
      <c r="I11" s="2693"/>
      <c r="J11" s="2664"/>
      <c r="K11" s="2026"/>
      <c r="L11" s="2649"/>
      <c r="M11" s="2649"/>
      <c r="N11" s="2096"/>
      <c r="O11" s="2649"/>
      <c r="P11" s="2664"/>
      <c r="Q11" s="2097"/>
      <c r="R11" s="2649"/>
      <c r="S11" s="2649"/>
      <c r="T11" s="2098"/>
      <c r="U11" s="2649"/>
      <c r="V11" s="2664"/>
      <c r="W11" s="2099"/>
      <c r="X11" s="2649"/>
      <c r="Y11" s="2649"/>
      <c r="Z11" s="2096"/>
      <c r="AA11" s="2649"/>
      <c r="AB11" s="2664"/>
      <c r="AC11" s="2100"/>
      <c r="AD11" s="2649"/>
      <c r="AE11" s="2649"/>
      <c r="AF11" s="2025"/>
      <c r="AG11" s="2025"/>
      <c r="AH11" s="2101"/>
      <c r="AI11" s="1808"/>
      <c r="AJ11" s="2086"/>
      <c r="BM11" s="805">
        <v>14</v>
      </c>
    </row>
    <row customHeight="1" ht="14.699999999999998">
      <c r="D12" s="2695"/>
      <c r="E12" s="2691"/>
      <c r="F12" s="2691"/>
      <c r="G12" s="2698"/>
      <c r="H12" s="2112"/>
      <c r="I12" s="2694"/>
      <c r="J12" s="2665"/>
      <c r="K12" s="2122"/>
      <c r="L12" s="2650"/>
      <c r="M12" s="2650"/>
      <c r="N12" s="2102"/>
      <c r="O12" s="2650"/>
      <c r="P12" s="2665"/>
      <c r="Q12" s="2103"/>
      <c r="R12" s="2650"/>
      <c r="S12" s="2650"/>
      <c r="T12" s="2104"/>
      <c r="U12" s="2650"/>
      <c r="V12" s="2665"/>
      <c r="W12" s="2105"/>
      <c r="X12" s="2650"/>
      <c r="Y12" s="2650"/>
      <c r="Z12" s="2102"/>
      <c r="AA12" s="2650"/>
      <c r="AB12" s="2665"/>
      <c r="AC12" s="2106"/>
      <c r="AD12" s="2650"/>
      <c r="AE12" s="2650"/>
      <c r="AF12" s="2107"/>
      <c r="AG12" s="2107"/>
      <c r="AH12" s="2689"/>
      <c r="AI12" s="2690"/>
      <c r="AJ12" s="2086"/>
      <c r="BM12" s="805">
        <v>14</v>
      </c>
    </row>
    <row customHeight="1" ht="14.699999999999998">
      <c r="D13" s="2695"/>
      <c r="E13" s="2691"/>
      <c r="F13" s="2691"/>
      <c r="G13" s="2698"/>
      <c r="H13" s="2112"/>
      <c r="I13" s="2694"/>
      <c r="J13" s="2665"/>
      <c r="K13" s="2122"/>
      <c r="L13" s="2650"/>
      <c r="M13" s="2650"/>
      <c r="N13" s="2102"/>
      <c r="O13" s="2650"/>
      <c r="P13" s="2665"/>
      <c r="Q13" s="2103"/>
      <c r="R13" s="2650"/>
      <c r="S13" s="2650"/>
      <c r="T13" s="2104"/>
      <c r="U13" s="2650"/>
      <c r="V13" s="2665"/>
      <c r="W13" s="2105"/>
      <c r="X13" s="2650"/>
      <c r="Y13" s="2650"/>
      <c r="Z13" s="2024"/>
      <c r="AA13" s="2107"/>
      <c r="AB13" s="2689"/>
      <c r="AC13" s="2689"/>
      <c r="AD13" s="2689"/>
      <c r="AE13" s="2689"/>
      <c r="AF13" s="2689"/>
      <c r="AG13" s="2689"/>
      <c r="AH13" s="2689"/>
      <c r="AI13" s="2690"/>
      <c r="AJ13" s="2086"/>
      <c r="BM13" s="805">
        <v>14</v>
      </c>
    </row>
    <row customHeight="1" ht="14.699999999999998">
      <c r="D14" s="2695"/>
      <c r="E14" s="2691"/>
      <c r="F14" s="2691"/>
      <c r="G14" s="2698"/>
      <c r="H14" s="2112"/>
      <c r="I14" s="2694"/>
      <c r="J14" s="2665"/>
      <c r="K14" s="2122"/>
      <c r="L14" s="2650"/>
      <c r="M14" s="2650"/>
      <c r="N14" s="2102"/>
      <c r="O14" s="2650"/>
      <c r="P14" s="2665"/>
      <c r="Q14" s="2103"/>
      <c r="R14" s="2650"/>
      <c r="S14" s="2650"/>
      <c r="T14" s="2108"/>
      <c r="U14" s="2109"/>
      <c r="V14" s="2689"/>
      <c r="W14" s="2689"/>
      <c r="X14" s="2689"/>
      <c r="Y14" s="2689"/>
      <c r="Z14" s="2689"/>
      <c r="AA14" s="2689"/>
      <c r="AB14" s="2689"/>
      <c r="AC14" s="2689"/>
      <c r="AD14" s="2689"/>
      <c r="AE14" s="2689"/>
      <c r="AF14" s="2689"/>
      <c r="AG14" s="2689"/>
      <c r="AH14" s="2689"/>
      <c r="AI14" s="2690"/>
      <c r="AJ14" s="2086"/>
      <c r="BM14" s="805">
        <v>14</v>
      </c>
    </row>
    <row customHeight="1" ht="11.549999999999999">
      <c r="D15" s="2695"/>
      <c r="E15" s="2691"/>
      <c r="F15" s="2691"/>
      <c r="G15" s="2698"/>
      <c r="H15" s="2113"/>
      <c r="I15" s="2694"/>
      <c r="J15" s="2665"/>
      <c r="K15" s="2122"/>
      <c r="L15" s="2650"/>
      <c r="M15" s="2650"/>
      <c r="N15" s="2107"/>
      <c r="O15" s="2107"/>
      <c r="P15" s="2689"/>
      <c r="Q15" s="2689"/>
      <c r="R15" s="2689"/>
      <c r="S15" s="2689"/>
      <c r="T15" s="2689"/>
      <c r="U15" s="2689"/>
      <c r="V15" s="2689"/>
      <c r="W15" s="2689"/>
      <c r="X15" s="2689"/>
      <c r="Y15" s="2689"/>
      <c r="Z15" s="2689"/>
      <c r="AA15" s="2689"/>
      <c r="AB15" s="2689"/>
      <c r="AC15" s="2689"/>
      <c r="AD15" s="2689"/>
      <c r="AE15" s="2689"/>
      <c r="AF15" s="2689"/>
      <c r="AG15" s="2689"/>
      <c r="AH15" s="2689"/>
      <c r="AI15" s="2690"/>
      <c r="AJ15" s="2086"/>
      <c r="BM15" s="805">
        <v>11</v>
      </c>
    </row>
    <row s="51361" customFormat="1" customHeight="1" ht="11.549999999999999">
      <c r="D16" s="2701"/>
      <c r="E16" s="2702"/>
      <c r="F16" s="2692"/>
      <c r="G16" s="2624"/>
      <c r="H16" s="2110"/>
      <c r="I16" s="2114"/>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700"/>
      <c r="AJ16" s="2086"/>
      <c r="AK16" s="818"/>
      <c r="AL16" s="2086"/>
      <c r="AM16" s="2086"/>
      <c r="AN16" s="2086"/>
      <c r="AO16" s="2086"/>
      <c r="AP16" s="2086"/>
      <c r="AQ16" s="2086"/>
      <c r="AR16" s="2086"/>
      <c r="AS16" s="2086"/>
      <c r="AT16" s="2086"/>
      <c r="AU16" s="2086"/>
      <c r="AV16" s="2086"/>
      <c r="AW16" s="2086"/>
      <c r="AX16" s="2086"/>
      <c r="AY16" s="2086"/>
      <c r="AZ16" s="2086"/>
      <c r="BA16" s="2086"/>
      <c r="BB16" s="2086"/>
      <c r="BC16" s="2086"/>
      <c r="BD16" s="2086"/>
      <c r="BE16" s="2086"/>
      <c r="BF16" s="2086"/>
      <c r="BG16" s="2086"/>
      <c r="BH16" s="2086"/>
      <c r="BI16" s="2086"/>
      <c r="BJ16" s="2086"/>
      <c r="BK16" s="2086"/>
      <c r="BL16" s="2086"/>
      <c r="BM16" s="2066">
        <v>11</v>
      </c>
    </row>
    <row customHeight="1" ht="15">
      <c r="D17" s="2695" t="s">
        <v>105</v>
      </c>
      <c r="E17" s="2691" t="s">
        <v>432</v>
      </c>
      <c r="F17" s="2691" t="s">
        <v>434</v>
      </c>
      <c r="G17" s="2697" t="s">
        <v>19</v>
      </c>
      <c r="H17" s="2111"/>
      <c r="I17" s="2693"/>
      <c r="J17" s="2664"/>
      <c r="K17" s="2026"/>
      <c r="L17" s="2649"/>
      <c r="M17" s="2649"/>
      <c r="N17" s="2096"/>
      <c r="O17" s="2649"/>
      <c r="P17" s="2664"/>
      <c r="Q17" s="2097"/>
      <c r="R17" s="2649"/>
      <c r="S17" s="2649"/>
      <c r="T17" s="2098"/>
      <c r="U17" s="2649"/>
      <c r="V17" s="2664"/>
      <c r="W17" s="2099"/>
      <c r="X17" s="2649"/>
      <c r="Y17" s="2649"/>
      <c r="Z17" s="2096"/>
      <c r="AA17" s="2649"/>
      <c r="AB17" s="2664"/>
      <c r="AC17" s="2100"/>
      <c r="AD17" s="2649"/>
      <c r="AE17" s="2649"/>
      <c r="AF17" s="2025"/>
      <c r="AG17" s="2025"/>
      <c r="AH17" s="2101"/>
      <c r="AI17" s="1808"/>
      <c r="AJ17" s="2086"/>
      <c r="BM17" s="805">
        <v>14</v>
      </c>
    </row>
    <row customHeight="1" ht="14.699999999999998">
      <c r="D18" s="2695"/>
      <c r="E18" s="2691"/>
      <c r="F18" s="2691"/>
      <c r="G18" s="2698"/>
      <c r="H18" s="2112"/>
      <c r="I18" s="2694"/>
      <c r="J18" s="2665"/>
      <c r="K18" s="2095"/>
      <c r="L18" s="2650"/>
      <c r="M18" s="2650"/>
      <c r="N18" s="2102"/>
      <c r="O18" s="2650"/>
      <c r="P18" s="2665"/>
      <c r="Q18" s="2103"/>
      <c r="R18" s="2650"/>
      <c r="S18" s="2650"/>
      <c r="T18" s="2104"/>
      <c r="U18" s="2650"/>
      <c r="V18" s="2665"/>
      <c r="W18" s="2105"/>
      <c r="X18" s="2650"/>
      <c r="Y18" s="2650"/>
      <c r="Z18" s="2102"/>
      <c r="AA18" s="2650"/>
      <c r="AB18" s="2665"/>
      <c r="AC18" s="2106"/>
      <c r="AD18" s="2650"/>
      <c r="AE18" s="2650"/>
      <c r="AF18" s="2107"/>
      <c r="AG18" s="2107"/>
      <c r="AH18" s="2689"/>
      <c r="AI18" s="2690"/>
      <c r="AJ18" s="2086"/>
      <c r="BM18" s="805">
        <v>14</v>
      </c>
    </row>
    <row customHeight="1" ht="14.699999999999998">
      <c r="D19" s="2695"/>
      <c r="E19" s="2691"/>
      <c r="F19" s="2691"/>
      <c r="G19" s="2698"/>
      <c r="H19" s="2112"/>
      <c r="I19" s="2694"/>
      <c r="J19" s="2665"/>
      <c r="K19" s="2095"/>
      <c r="L19" s="2650"/>
      <c r="M19" s="2650"/>
      <c r="N19" s="2102"/>
      <c r="O19" s="2650"/>
      <c r="P19" s="2665"/>
      <c r="Q19" s="2103"/>
      <c r="R19" s="2650"/>
      <c r="S19" s="2650"/>
      <c r="T19" s="2104"/>
      <c r="U19" s="2650"/>
      <c r="V19" s="2665"/>
      <c r="W19" s="2105"/>
      <c r="X19" s="2650"/>
      <c r="Y19" s="2650"/>
      <c r="Z19" s="2024"/>
      <c r="AA19" s="2107"/>
      <c r="AB19" s="2689"/>
      <c r="AC19" s="2689"/>
      <c r="AD19" s="2689"/>
      <c r="AE19" s="2689"/>
      <c r="AF19" s="2689"/>
      <c r="AG19" s="2689"/>
      <c r="AH19" s="2689"/>
      <c r="AI19" s="2690"/>
      <c r="AJ19" s="2086"/>
      <c r="BM19" s="805">
        <v>14</v>
      </c>
    </row>
    <row customHeight="1" ht="14.699999999999998">
      <c r="D20" s="2695"/>
      <c r="E20" s="2691"/>
      <c r="F20" s="2691"/>
      <c r="G20" s="2698"/>
      <c r="H20" s="2112"/>
      <c r="I20" s="2694"/>
      <c r="J20" s="2665"/>
      <c r="K20" s="2095"/>
      <c r="L20" s="2650"/>
      <c r="M20" s="2650"/>
      <c r="N20" s="2102"/>
      <c r="O20" s="2650"/>
      <c r="P20" s="2665"/>
      <c r="Q20" s="2103"/>
      <c r="R20" s="2650"/>
      <c r="S20" s="2650"/>
      <c r="T20" s="2108"/>
      <c r="U20" s="2109"/>
      <c r="V20" s="2689"/>
      <c r="W20" s="2689"/>
      <c r="X20" s="2689"/>
      <c r="Y20" s="2689"/>
      <c r="Z20" s="2689"/>
      <c r="AA20" s="2689"/>
      <c r="AB20" s="2689"/>
      <c r="AC20" s="2689"/>
      <c r="AD20" s="2689"/>
      <c r="AE20" s="2689"/>
      <c r="AF20" s="2689"/>
      <c r="AG20" s="2689"/>
      <c r="AH20" s="2689"/>
      <c r="AI20" s="2690"/>
      <c r="AJ20" s="2086"/>
      <c r="BM20" s="805">
        <v>14</v>
      </c>
    </row>
    <row customHeight="1" ht="11.549999999999999">
      <c r="D21" s="2695"/>
      <c r="E21" s="2691"/>
      <c r="F21" s="2691"/>
      <c r="G21" s="2698"/>
      <c r="H21" s="2113"/>
      <c r="I21" s="2694"/>
      <c r="J21" s="2665"/>
      <c r="K21" s="2095"/>
      <c r="L21" s="2650"/>
      <c r="M21" s="2650"/>
      <c r="N21" s="2107"/>
      <c r="O21" s="2107"/>
      <c r="P21" s="2689"/>
      <c r="Q21" s="2689"/>
      <c r="R21" s="2689"/>
      <c r="S21" s="2689"/>
      <c r="T21" s="2689"/>
      <c r="U21" s="2689"/>
      <c r="V21" s="2689"/>
      <c r="W21" s="2689"/>
      <c r="X21" s="2689"/>
      <c r="Y21" s="2689"/>
      <c r="Z21" s="2689"/>
      <c r="AA21" s="2689"/>
      <c r="AB21" s="2689"/>
      <c r="AC21" s="2689"/>
      <c r="AD21" s="2689"/>
      <c r="AE21" s="2689"/>
      <c r="AF21" s="2689"/>
      <c r="AG21" s="2689"/>
      <c r="AH21" s="2689"/>
      <c r="AI21" s="2690"/>
      <c r="AJ21" s="2086"/>
      <c r="BM21" s="805">
        <v>11</v>
      </c>
    </row>
    <row s="51361" customFormat="1" customHeight="1" ht="11.549999999999999">
      <c r="D22" s="2701"/>
      <c r="E22" s="2702"/>
      <c r="F22" s="2692"/>
      <c r="G22" s="2624"/>
      <c r="H22" s="2110"/>
      <c r="I22" s="2114"/>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700"/>
      <c r="AJ22" s="2086"/>
      <c r="AK22" s="818"/>
      <c r="AL22" s="2086"/>
      <c r="AM22" s="2086"/>
      <c r="AN22" s="2086"/>
      <c r="AO22" s="2086"/>
      <c r="AP22" s="2086"/>
      <c r="AQ22" s="2086"/>
      <c r="AR22" s="2086"/>
      <c r="AS22" s="2086"/>
      <c r="AT22" s="2086"/>
      <c r="AU22" s="2086"/>
      <c r="AV22" s="2086"/>
      <c r="AW22" s="2086"/>
      <c r="AX22" s="2086"/>
      <c r="AY22" s="2086"/>
      <c r="AZ22" s="2086"/>
      <c r="BA22" s="2086"/>
      <c r="BB22" s="2086"/>
      <c r="BC22" s="2086"/>
      <c r="BD22" s="2086"/>
      <c r="BE22" s="2086"/>
      <c r="BF22" s="2086"/>
      <c r="BG22" s="2086"/>
      <c r="BH22" s="2086"/>
      <c r="BI22" s="2086"/>
      <c r="BJ22" s="2086"/>
      <c r="BK22" s="2086"/>
      <c r="BL22" s="2086"/>
      <c r="BM22" s="2066">
        <v>11</v>
      </c>
    </row>
    <row customHeight="1" ht="15">
      <c r="D23" s="2695" t="s">
        <v>92</v>
      </c>
      <c r="E23" s="2691" t="s">
        <v>432</v>
      </c>
      <c r="F23" s="2691" t="s">
        <v>435</v>
      </c>
      <c r="G23" s="2697" t="s">
        <v>19</v>
      </c>
      <c r="H23" s="2111"/>
      <c r="I23" s="2693"/>
      <c r="J23" s="2664"/>
      <c r="K23" s="2026"/>
      <c r="L23" s="2649"/>
      <c r="M23" s="2649"/>
      <c r="N23" s="2096"/>
      <c r="O23" s="2649"/>
      <c r="P23" s="2664"/>
      <c r="Q23" s="2097"/>
      <c r="R23" s="2649"/>
      <c r="S23" s="2649"/>
      <c r="T23" s="2098"/>
      <c r="U23" s="2649"/>
      <c r="V23" s="2664"/>
      <c r="W23" s="2099"/>
      <c r="X23" s="2649"/>
      <c r="Y23" s="2649"/>
      <c r="Z23" s="2096"/>
      <c r="AA23" s="2649"/>
      <c r="AB23" s="2664"/>
      <c r="AC23" s="2100"/>
      <c r="AD23" s="2649"/>
      <c r="AE23" s="2649"/>
      <c r="AF23" s="2025"/>
      <c r="AG23" s="2025"/>
      <c r="AH23" s="2101"/>
      <c r="AI23" s="1808"/>
      <c r="AJ23" s="2086"/>
      <c r="AK23" s="818" t="s">
        <v>100</v>
      </c>
      <c r="BM23" s="805">
        <v>14</v>
      </c>
    </row>
    <row customHeight="1" ht="14.699999999999998">
      <c r="D24" s="2695"/>
      <c r="E24" s="2691"/>
      <c r="F24" s="2691"/>
      <c r="G24" s="2698"/>
      <c r="H24" s="2112"/>
      <c r="I24" s="2694"/>
      <c r="J24" s="2665"/>
      <c r="K24" s="2122"/>
      <c r="L24" s="2650"/>
      <c r="M24" s="2650"/>
      <c r="N24" s="2102"/>
      <c r="O24" s="2650"/>
      <c r="P24" s="2665"/>
      <c r="Q24" s="2103"/>
      <c r="R24" s="2650"/>
      <c r="S24" s="2650"/>
      <c r="T24" s="2104"/>
      <c r="U24" s="2650"/>
      <c r="V24" s="2665"/>
      <c r="W24" s="2105"/>
      <c r="X24" s="2650"/>
      <c r="Y24" s="2650"/>
      <c r="Z24" s="2102"/>
      <c r="AA24" s="2650"/>
      <c r="AB24" s="2665"/>
      <c r="AC24" s="2106"/>
      <c r="AD24" s="2650"/>
      <c r="AE24" s="2650"/>
      <c r="AF24" s="2107"/>
      <c r="AG24" s="2107"/>
      <c r="AH24" s="2689"/>
      <c r="AI24" s="2690"/>
      <c r="AJ24" s="2086"/>
      <c r="BM24" s="805">
        <v>14</v>
      </c>
    </row>
    <row customHeight="1" ht="14.699999999999998">
      <c r="D25" s="2695"/>
      <c r="E25" s="2691"/>
      <c r="F25" s="2691"/>
      <c r="G25" s="2698"/>
      <c r="H25" s="2112"/>
      <c r="I25" s="2694"/>
      <c r="J25" s="2665"/>
      <c r="K25" s="2122"/>
      <c r="L25" s="2650"/>
      <c r="M25" s="2650"/>
      <c r="N25" s="2102"/>
      <c r="O25" s="2650"/>
      <c r="P25" s="2665"/>
      <c r="Q25" s="2103"/>
      <c r="R25" s="2650"/>
      <c r="S25" s="2650"/>
      <c r="T25" s="2104"/>
      <c r="U25" s="2650"/>
      <c r="V25" s="2665"/>
      <c r="W25" s="2105"/>
      <c r="X25" s="2650"/>
      <c r="Y25" s="2650"/>
      <c r="Z25" s="2024"/>
      <c r="AA25" s="2107"/>
      <c r="AB25" s="2689"/>
      <c r="AC25" s="2689"/>
      <c r="AD25" s="2689"/>
      <c r="AE25" s="2689"/>
      <c r="AF25" s="2689"/>
      <c r="AG25" s="2689"/>
      <c r="AH25" s="2689"/>
      <c r="AI25" s="2690"/>
      <c r="AJ25" s="2086"/>
      <c r="BM25" s="805">
        <v>14</v>
      </c>
    </row>
    <row customHeight="1" ht="14.699999999999998">
      <c r="D26" s="2695"/>
      <c r="E26" s="2691"/>
      <c r="F26" s="2691"/>
      <c r="G26" s="2698"/>
      <c r="H26" s="2112"/>
      <c r="I26" s="2694"/>
      <c r="J26" s="2665"/>
      <c r="K26" s="2122"/>
      <c r="L26" s="2650"/>
      <c r="M26" s="2650"/>
      <c r="N26" s="2102"/>
      <c r="O26" s="2650"/>
      <c r="P26" s="2665"/>
      <c r="Q26" s="2103"/>
      <c r="R26" s="2650"/>
      <c r="S26" s="2650"/>
      <c r="T26" s="2108"/>
      <c r="U26" s="2109"/>
      <c r="V26" s="2689"/>
      <c r="W26" s="2689"/>
      <c r="X26" s="2689"/>
      <c r="Y26" s="2689"/>
      <c r="Z26" s="2689"/>
      <c r="AA26" s="2689"/>
      <c r="AB26" s="2689"/>
      <c r="AC26" s="2689"/>
      <c r="AD26" s="2689"/>
      <c r="AE26" s="2689"/>
      <c r="AF26" s="2689"/>
      <c r="AG26" s="2689"/>
      <c r="AH26" s="2689"/>
      <c r="AI26" s="2690"/>
      <c r="AJ26" s="2086"/>
      <c r="BM26" s="805">
        <v>14</v>
      </c>
    </row>
    <row customHeight="1" ht="11.549999999999999">
      <c r="D27" s="2695"/>
      <c r="E27" s="2691"/>
      <c r="F27" s="2691"/>
      <c r="G27" s="2698"/>
      <c r="H27" s="2113"/>
      <c r="I27" s="2694"/>
      <c r="J27" s="2665"/>
      <c r="K27" s="2122"/>
      <c r="L27" s="2650"/>
      <c r="M27" s="2650"/>
      <c r="N27" s="2107"/>
      <c r="O27" s="2107"/>
      <c r="P27" s="2689"/>
      <c r="Q27" s="2689"/>
      <c r="R27" s="2689"/>
      <c r="S27" s="2689"/>
      <c r="T27" s="2689"/>
      <c r="U27" s="2689"/>
      <c r="V27" s="2689"/>
      <c r="W27" s="2689"/>
      <c r="X27" s="2689"/>
      <c r="Y27" s="2689"/>
      <c r="Z27" s="2689"/>
      <c r="AA27" s="2689"/>
      <c r="AB27" s="2689"/>
      <c r="AC27" s="2689"/>
      <c r="AD27" s="2689"/>
      <c r="AE27" s="2689"/>
      <c r="AF27" s="2689"/>
      <c r="AG27" s="2689"/>
      <c r="AH27" s="2689"/>
      <c r="AI27" s="2690"/>
      <c r="AJ27" s="2086"/>
      <c r="BM27" s="805">
        <v>11</v>
      </c>
    </row>
    <row s="51361" customFormat="1" customHeight="1" ht="11.549999999999999">
      <c r="D28" s="2701"/>
      <c r="E28" s="2702"/>
      <c r="F28" s="2692"/>
      <c r="G28" s="2624"/>
      <c r="H28" s="2110"/>
      <c r="I28" s="2114"/>
      <c r="J28" s="2699"/>
      <c r="K28" s="2699"/>
      <c r="L28" s="2699"/>
      <c r="M28" s="2699"/>
      <c r="N28" s="2699"/>
      <c r="O28" s="2699"/>
      <c r="P28" s="2699"/>
      <c r="Q28" s="2699"/>
      <c r="R28" s="2699"/>
      <c r="S28" s="2699"/>
      <c r="T28" s="2699"/>
      <c r="U28" s="2699"/>
      <c r="V28" s="2699"/>
      <c r="W28" s="2699"/>
      <c r="X28" s="2699"/>
      <c r="Y28" s="2699"/>
      <c r="Z28" s="2699"/>
      <c r="AA28" s="2699"/>
      <c r="AB28" s="2699"/>
      <c r="AC28" s="2699"/>
      <c r="AD28" s="2699"/>
      <c r="AE28" s="2699"/>
      <c r="AF28" s="2699"/>
      <c r="AG28" s="2699"/>
      <c r="AH28" s="2699"/>
      <c r="AI28" s="2700"/>
      <c r="AJ28" s="2086"/>
      <c r="AK28" s="818"/>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66">
        <v>11</v>
      </c>
    </row>
    <row customHeight="1" ht="15">
      <c r="D29" s="2695" t="s">
        <v>93</v>
      </c>
      <c r="E29" s="2691" t="s">
        <v>432</v>
      </c>
      <c r="F29" s="2691" t="s">
        <v>436</v>
      </c>
      <c r="G29" s="2697" t="s">
        <v>19</v>
      </c>
      <c r="H29" s="2111"/>
      <c r="I29" s="2693"/>
      <c r="J29" s="2664"/>
      <c r="K29" s="2026"/>
      <c r="L29" s="2649"/>
      <c r="M29" s="2649"/>
      <c r="N29" s="2096"/>
      <c r="O29" s="2649"/>
      <c r="P29" s="2664"/>
      <c r="Q29" s="2097"/>
      <c r="R29" s="2649"/>
      <c r="S29" s="2649"/>
      <c r="T29" s="2098"/>
      <c r="U29" s="2649"/>
      <c r="V29" s="2664"/>
      <c r="W29" s="2099"/>
      <c r="X29" s="2649"/>
      <c r="Y29" s="2649"/>
      <c r="Z29" s="2096"/>
      <c r="AA29" s="2649"/>
      <c r="AB29" s="2664"/>
      <c r="AC29" s="2100"/>
      <c r="AD29" s="2649"/>
      <c r="AE29" s="2649"/>
      <c r="AF29" s="2025"/>
      <c r="AG29" s="2025"/>
      <c r="AH29" s="2101"/>
      <c r="AI29" s="1808"/>
      <c r="AJ29" s="2086"/>
      <c r="BM29" s="805">
        <v>14</v>
      </c>
    </row>
    <row customHeight="1" ht="14.699999999999998">
      <c r="D30" s="2695"/>
      <c r="E30" s="2691"/>
      <c r="F30" s="2691"/>
      <c r="G30" s="2698"/>
      <c r="H30" s="2112"/>
      <c r="I30" s="2694"/>
      <c r="J30" s="2665"/>
      <c r="K30" s="2095"/>
      <c r="L30" s="2650"/>
      <c r="M30" s="2650"/>
      <c r="N30" s="2102"/>
      <c r="O30" s="2650"/>
      <c r="P30" s="2665"/>
      <c r="Q30" s="2103"/>
      <c r="R30" s="2650"/>
      <c r="S30" s="2650"/>
      <c r="T30" s="2104"/>
      <c r="U30" s="2650"/>
      <c r="V30" s="2665"/>
      <c r="W30" s="2105"/>
      <c r="X30" s="2650"/>
      <c r="Y30" s="2650"/>
      <c r="Z30" s="2102"/>
      <c r="AA30" s="2650"/>
      <c r="AB30" s="2665"/>
      <c r="AC30" s="2106"/>
      <c r="AD30" s="2650"/>
      <c r="AE30" s="2650"/>
      <c r="AF30" s="2107"/>
      <c r="AG30" s="2107"/>
      <c r="AH30" s="2689"/>
      <c r="AI30" s="2690"/>
      <c r="AJ30" s="2086"/>
      <c r="BM30" s="805">
        <v>14</v>
      </c>
    </row>
    <row customHeight="1" ht="14.699999999999998">
      <c r="D31" s="2695"/>
      <c r="E31" s="2691"/>
      <c r="F31" s="2691"/>
      <c r="G31" s="2698"/>
      <c r="H31" s="2112"/>
      <c r="I31" s="2694"/>
      <c r="J31" s="2665"/>
      <c r="K31" s="2095"/>
      <c r="L31" s="2650"/>
      <c r="M31" s="2650"/>
      <c r="N31" s="2102"/>
      <c r="O31" s="2650"/>
      <c r="P31" s="2665"/>
      <c r="Q31" s="2103"/>
      <c r="R31" s="2650"/>
      <c r="S31" s="2650"/>
      <c r="T31" s="2104"/>
      <c r="U31" s="2650"/>
      <c r="V31" s="2665"/>
      <c r="W31" s="2105"/>
      <c r="X31" s="2650"/>
      <c r="Y31" s="2650"/>
      <c r="Z31" s="2024"/>
      <c r="AA31" s="2107"/>
      <c r="AB31" s="2689"/>
      <c r="AC31" s="2689"/>
      <c r="AD31" s="2689"/>
      <c r="AE31" s="2689"/>
      <c r="AF31" s="2689"/>
      <c r="AG31" s="2689"/>
      <c r="AH31" s="2689"/>
      <c r="AI31" s="2690"/>
      <c r="AJ31" s="2086"/>
      <c r="BM31" s="805">
        <v>14</v>
      </c>
    </row>
    <row customHeight="1" ht="14.699999999999998">
      <c r="D32" s="2695"/>
      <c r="E32" s="2691"/>
      <c r="F32" s="2691"/>
      <c r="G32" s="2698"/>
      <c r="H32" s="2112"/>
      <c r="I32" s="2694"/>
      <c r="J32" s="2665"/>
      <c r="K32" s="2095"/>
      <c r="L32" s="2650"/>
      <c r="M32" s="2650"/>
      <c r="N32" s="2102"/>
      <c r="O32" s="2650"/>
      <c r="P32" s="2665"/>
      <c r="Q32" s="2103"/>
      <c r="R32" s="2650"/>
      <c r="S32" s="2650"/>
      <c r="T32" s="2108"/>
      <c r="U32" s="2109"/>
      <c r="V32" s="2689"/>
      <c r="W32" s="2689"/>
      <c r="X32" s="2689"/>
      <c r="Y32" s="2689"/>
      <c r="Z32" s="2689"/>
      <c r="AA32" s="2689"/>
      <c r="AB32" s="2689"/>
      <c r="AC32" s="2689"/>
      <c r="AD32" s="2689"/>
      <c r="AE32" s="2689"/>
      <c r="AF32" s="2689"/>
      <c r="AG32" s="2689"/>
      <c r="AH32" s="2689"/>
      <c r="AI32" s="2690"/>
      <c r="AJ32" s="2086"/>
      <c r="BM32" s="805">
        <v>14</v>
      </c>
    </row>
    <row customHeight="1" ht="11.549999999999999">
      <c r="D33" s="2695"/>
      <c r="E33" s="2691"/>
      <c r="F33" s="2691"/>
      <c r="G33" s="2698"/>
      <c r="H33" s="2113"/>
      <c r="I33" s="2694"/>
      <c r="J33" s="2665"/>
      <c r="K33" s="2095"/>
      <c r="L33" s="2650"/>
      <c r="M33" s="2650"/>
      <c r="N33" s="2107"/>
      <c r="O33" s="2107"/>
      <c r="P33" s="2689"/>
      <c r="Q33" s="2689"/>
      <c r="R33" s="2689"/>
      <c r="S33" s="2689"/>
      <c r="T33" s="2689"/>
      <c r="U33" s="2689"/>
      <c r="V33" s="2689"/>
      <c r="W33" s="2689"/>
      <c r="X33" s="2689"/>
      <c r="Y33" s="2689"/>
      <c r="Z33" s="2689"/>
      <c r="AA33" s="2689"/>
      <c r="AB33" s="2689"/>
      <c r="AC33" s="2689"/>
      <c r="AD33" s="2689"/>
      <c r="AE33" s="2689"/>
      <c r="AF33" s="2689"/>
      <c r="AG33" s="2689"/>
      <c r="AH33" s="2689"/>
      <c r="AI33" s="2690"/>
      <c r="AJ33" s="2086"/>
      <c r="BM33" s="805">
        <v>11</v>
      </c>
    </row>
    <row s="51361" customFormat="1" customHeight="1" ht="11.549999999999999">
      <c r="D34" s="2701"/>
      <c r="E34" s="2702"/>
      <c r="F34" s="2692"/>
      <c r="G34" s="2624"/>
      <c r="H34" s="2110"/>
      <c r="I34" s="2114"/>
      <c r="J34" s="2699"/>
      <c r="K34" s="2699"/>
      <c r="L34" s="2699"/>
      <c r="M34" s="2699"/>
      <c r="N34" s="2699"/>
      <c r="O34" s="2699"/>
      <c r="P34" s="2699"/>
      <c r="Q34" s="2699"/>
      <c r="R34" s="2699"/>
      <c r="S34" s="2699"/>
      <c r="T34" s="2699"/>
      <c r="U34" s="2699"/>
      <c r="V34" s="2699"/>
      <c r="W34" s="2699"/>
      <c r="X34" s="2699"/>
      <c r="Y34" s="2699"/>
      <c r="Z34" s="2699"/>
      <c r="AA34" s="2699"/>
      <c r="AB34" s="2699"/>
      <c r="AC34" s="2699"/>
      <c r="AD34" s="2699"/>
      <c r="AE34" s="2699"/>
      <c r="AF34" s="2699"/>
      <c r="AG34" s="2699"/>
      <c r="AH34" s="2699"/>
      <c r="AI34" s="2700"/>
      <c r="AJ34" s="2086"/>
      <c r="AK34" s="818"/>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66">
        <v>11</v>
      </c>
    </row>
    <row customHeight="1" ht="15">
      <c r="D35" s="2695" t="s">
        <v>121</v>
      </c>
      <c r="E35" s="2691" t="s">
        <v>432</v>
      </c>
      <c r="F35" s="2691" t="s">
        <v>437</v>
      </c>
      <c r="G35" s="2697" t="s">
        <v>19</v>
      </c>
      <c r="H35" s="2111"/>
      <c r="I35" s="2693"/>
      <c r="J35" s="2664"/>
      <c r="K35" s="2026"/>
      <c r="L35" s="2649"/>
      <c r="M35" s="2649"/>
      <c r="N35" s="2096"/>
      <c r="O35" s="2649"/>
      <c r="P35" s="2664"/>
      <c r="Q35" s="2097"/>
      <c r="R35" s="2649"/>
      <c r="S35" s="2649"/>
      <c r="T35" s="2098"/>
      <c r="U35" s="2649"/>
      <c r="V35" s="2664"/>
      <c r="W35" s="2099"/>
      <c r="X35" s="2649"/>
      <c r="Y35" s="2649"/>
      <c r="Z35" s="2096"/>
      <c r="AA35" s="2649"/>
      <c r="AB35" s="2664"/>
      <c r="AC35" s="2100"/>
      <c r="AD35" s="2649"/>
      <c r="AE35" s="2649"/>
      <c r="AF35" s="2025"/>
      <c r="AG35" s="2025"/>
      <c r="AH35" s="2101"/>
      <c r="AI35" s="1808"/>
      <c r="AJ35" s="2086"/>
      <c r="BM35" s="805">
        <v>14</v>
      </c>
    </row>
    <row customHeight="1" ht="14.699999999999998">
      <c r="D36" s="2695"/>
      <c r="E36" s="2691"/>
      <c r="F36" s="2691"/>
      <c r="G36" s="2698"/>
      <c r="H36" s="2112"/>
      <c r="I36" s="2694"/>
      <c r="J36" s="2665"/>
      <c r="K36" s="2095"/>
      <c r="L36" s="2650"/>
      <c r="M36" s="2650"/>
      <c r="N36" s="2102"/>
      <c r="O36" s="2650"/>
      <c r="P36" s="2665"/>
      <c r="Q36" s="2103"/>
      <c r="R36" s="2650"/>
      <c r="S36" s="2650"/>
      <c r="T36" s="2104"/>
      <c r="U36" s="2650"/>
      <c r="V36" s="2665"/>
      <c r="W36" s="2105"/>
      <c r="X36" s="2650"/>
      <c r="Y36" s="2650"/>
      <c r="Z36" s="2102"/>
      <c r="AA36" s="2650"/>
      <c r="AB36" s="2665"/>
      <c r="AC36" s="2106"/>
      <c r="AD36" s="2650"/>
      <c r="AE36" s="2650"/>
      <c r="AF36" s="2107"/>
      <c r="AG36" s="2107"/>
      <c r="AH36" s="2689"/>
      <c r="AI36" s="2690"/>
      <c r="AJ36" s="2086"/>
      <c r="BM36" s="805">
        <v>14</v>
      </c>
    </row>
    <row customHeight="1" ht="14.699999999999998">
      <c r="D37" s="2695"/>
      <c r="E37" s="2691"/>
      <c r="F37" s="2691"/>
      <c r="G37" s="2698"/>
      <c r="H37" s="2112"/>
      <c r="I37" s="2694"/>
      <c r="J37" s="2665"/>
      <c r="K37" s="2095"/>
      <c r="L37" s="2650"/>
      <c r="M37" s="2650"/>
      <c r="N37" s="2102"/>
      <c r="O37" s="2650"/>
      <c r="P37" s="2665"/>
      <c r="Q37" s="2103"/>
      <c r="R37" s="2650"/>
      <c r="S37" s="2650"/>
      <c r="T37" s="2104"/>
      <c r="U37" s="2650"/>
      <c r="V37" s="2665"/>
      <c r="W37" s="2105"/>
      <c r="X37" s="2650"/>
      <c r="Y37" s="2650"/>
      <c r="Z37" s="2024"/>
      <c r="AA37" s="2107"/>
      <c r="AB37" s="2689"/>
      <c r="AC37" s="2689"/>
      <c r="AD37" s="2689"/>
      <c r="AE37" s="2689"/>
      <c r="AF37" s="2689"/>
      <c r="AG37" s="2689"/>
      <c r="AH37" s="2689"/>
      <c r="AI37" s="2690"/>
      <c r="AJ37" s="2086"/>
      <c r="BM37" s="805">
        <v>14</v>
      </c>
    </row>
    <row customHeight="1" ht="14.699999999999998">
      <c r="D38" s="2695"/>
      <c r="E38" s="2691"/>
      <c r="F38" s="2691"/>
      <c r="G38" s="2698"/>
      <c r="H38" s="2112"/>
      <c r="I38" s="2694"/>
      <c r="J38" s="2665"/>
      <c r="K38" s="2095"/>
      <c r="L38" s="2650"/>
      <c r="M38" s="2650"/>
      <c r="N38" s="2102"/>
      <c r="O38" s="2650"/>
      <c r="P38" s="2665"/>
      <c r="Q38" s="2103"/>
      <c r="R38" s="2650"/>
      <c r="S38" s="2650"/>
      <c r="T38" s="2108"/>
      <c r="U38" s="2109"/>
      <c r="V38" s="2689"/>
      <c r="W38" s="2689"/>
      <c r="X38" s="2689"/>
      <c r="Y38" s="2689"/>
      <c r="Z38" s="2689"/>
      <c r="AA38" s="2689"/>
      <c r="AB38" s="2689"/>
      <c r="AC38" s="2689"/>
      <c r="AD38" s="2689"/>
      <c r="AE38" s="2689"/>
      <c r="AF38" s="2689"/>
      <c r="AG38" s="2689"/>
      <c r="AH38" s="2689"/>
      <c r="AI38" s="2690"/>
      <c r="AJ38" s="2086"/>
      <c r="BM38" s="805">
        <v>14</v>
      </c>
    </row>
    <row customHeight="1" ht="11.549999999999999">
      <c r="D39" s="2695"/>
      <c r="E39" s="2691"/>
      <c r="F39" s="2691"/>
      <c r="G39" s="2698"/>
      <c r="H39" s="2113"/>
      <c r="I39" s="2694"/>
      <c r="J39" s="2665"/>
      <c r="K39" s="2095"/>
      <c r="L39" s="2650"/>
      <c r="M39" s="2650"/>
      <c r="N39" s="2107"/>
      <c r="O39" s="2107"/>
      <c r="P39" s="2689"/>
      <c r="Q39" s="2689"/>
      <c r="R39" s="2689"/>
      <c r="S39" s="2689"/>
      <c r="T39" s="2689"/>
      <c r="U39" s="2689"/>
      <c r="V39" s="2689"/>
      <c r="W39" s="2689"/>
      <c r="X39" s="2689"/>
      <c r="Y39" s="2689"/>
      <c r="Z39" s="2689"/>
      <c r="AA39" s="2689"/>
      <c r="AB39" s="2689"/>
      <c r="AC39" s="2689"/>
      <c r="AD39" s="2689"/>
      <c r="AE39" s="2689"/>
      <c r="AF39" s="2689"/>
      <c r="AG39" s="2689"/>
      <c r="AH39" s="2689"/>
      <c r="AI39" s="2690"/>
      <c r="AJ39" s="2086"/>
      <c r="BM39" s="805">
        <v>11</v>
      </c>
    </row>
    <row s="51361" customFormat="1" customHeight="1" ht="11.549999999999999">
      <c r="D40" s="2695"/>
      <c r="E40" s="2691"/>
      <c r="F40" s="2696"/>
      <c r="G40" s="2624"/>
      <c r="H40" s="2110"/>
      <c r="I40" s="2114"/>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700"/>
      <c r="AJ40" s="2086"/>
      <c r="AK40" s="818"/>
      <c r="AL40" s="2086"/>
      <c r="AM40" s="2086"/>
      <c r="AN40" s="2086"/>
      <c r="AO40" s="2086"/>
      <c r="AP40" s="2086"/>
      <c r="AQ40" s="2086"/>
      <c r="AR40" s="2086"/>
      <c r="AS40" s="2086"/>
      <c r="AT40" s="2086"/>
      <c r="AU40" s="2086"/>
      <c r="AV40" s="2086"/>
      <c r="AW40" s="2086"/>
      <c r="AX40" s="2086"/>
      <c r="AY40" s="2086"/>
      <c r="AZ40" s="2086"/>
      <c r="BA40" s="2086"/>
      <c r="BB40" s="2086"/>
      <c r="BC40" s="2086"/>
      <c r="BD40" s="2086"/>
      <c r="BE40" s="2086"/>
      <c r="BF40" s="2086"/>
      <c r="BG40" s="2086"/>
      <c r="BH40" s="2086"/>
      <c r="BI40" s="2086"/>
      <c r="BJ40" s="2086"/>
      <c r="BK40" s="2086"/>
      <c r="BL40" s="2086"/>
      <c r="BM40" s="2066">
        <v>11</v>
      </c>
    </row>
    <row customHeight="1" ht="11.549999999999999">
      <c r="AK41" s="935"/>
      <c r="BM41" s="805">
        <v>11</v>
      </c>
    </row>
    <row customHeight="1" ht="11.549999999999999">
      <c r="AK42" s="935"/>
      <c r="BM42" s="805">
        <v>11</v>
      </c>
    </row>
    <row customHeight="1" ht="11.549999999999999">
      <c r="AK43" s="935"/>
      <c r="BM43" s="805">
        <v>11</v>
      </c>
    </row>
    <row customHeight="1" ht="11.549999999999999">
      <c r="AK44" s="935"/>
      <c r="BM44" s="805">
        <v>11</v>
      </c>
    </row>
    <row customHeight="1" ht="11.549999999999999">
      <c r="AK45" s="935"/>
      <c r="BM45" s="805">
        <v>11</v>
      </c>
    </row>
    <row customHeight="1" ht="11.549999999999999">
      <c r="AK46" s="935"/>
      <c r="BM46" s="805">
        <v>11</v>
      </c>
    </row>
    <row customHeight="1" ht="11.549999999999999">
      <c r="AK47" s="935"/>
      <c r="BM47" s="805">
        <v>11</v>
      </c>
    </row>
    <row customHeight="1" ht="11.549999999999999">
      <c r="AK48" s="935"/>
      <c r="BM48" s="805">
        <v>11</v>
      </c>
    </row>
    <row customHeight="1" ht="11.549999999999999">
      <c r="AK49" s="935"/>
      <c r="BM49" s="805">
        <v>11</v>
      </c>
    </row>
    <row customHeight="1" ht="11.25" hidden="1">
      <c r="A50" s="805" t="s">
        <v>84</v>
      </c>
      <c r="B50" s="805">
        <v>0</v>
      </c>
      <c r="C50" s="805">
        <v>3</v>
      </c>
      <c r="D50" s="805">
        <v>3</v>
      </c>
      <c r="E50" s="805">
        <v>15</v>
      </c>
      <c r="F50" s="805">
        <v>15</v>
      </c>
      <c r="G50" s="805">
        <v>11</v>
      </c>
      <c r="H50" s="805">
        <v>3</v>
      </c>
      <c r="I50" s="805">
        <v>3</v>
      </c>
      <c r="J50" s="805">
        <v>12</v>
      </c>
      <c r="K50" s="805">
        <v>0</v>
      </c>
      <c r="L50" s="805">
        <v>10</v>
      </c>
      <c r="M50" s="805">
        <v>10</v>
      </c>
      <c r="N50" s="805">
        <v>3</v>
      </c>
      <c r="O50" s="805">
        <v>3</v>
      </c>
      <c r="P50" s="805">
        <v>19</v>
      </c>
      <c r="Q50" s="805">
        <v>0</v>
      </c>
      <c r="R50" s="805">
        <v>10</v>
      </c>
      <c r="S50" s="805">
        <v>10</v>
      </c>
      <c r="T50" s="805">
        <v>3</v>
      </c>
      <c r="U50" s="805">
        <v>3</v>
      </c>
      <c r="V50" s="805">
        <v>25</v>
      </c>
      <c r="W50" s="805">
        <v>0</v>
      </c>
      <c r="X50" s="805">
        <v>10</v>
      </c>
      <c r="Y50" s="805">
        <v>10</v>
      </c>
      <c r="Z50" s="805">
        <v>3</v>
      </c>
      <c r="AA50" s="805">
        <v>3</v>
      </c>
      <c r="AB50" s="805">
        <v>16</v>
      </c>
      <c r="AC50" s="805">
        <v>0</v>
      </c>
      <c r="AD50" s="805">
        <v>10</v>
      </c>
      <c r="AE50" s="805">
        <v>10</v>
      </c>
      <c r="AF50" s="805">
        <v>3</v>
      </c>
      <c r="AG50" s="805">
        <v>3</v>
      </c>
      <c r="AH50" s="805">
        <v>8</v>
      </c>
      <c r="AI50" s="805">
        <v>21</v>
      </c>
      <c r="AJ50" s="935">
        <v>8</v>
      </c>
      <c r="AK50" s="818">
        <v>8</v>
      </c>
      <c r="AL50" s="935">
        <v>8</v>
      </c>
      <c r="AM50" s="935">
        <v>8</v>
      </c>
      <c r="AN50" s="935">
        <v>8</v>
      </c>
      <c r="AO50" s="935">
        <v>8</v>
      </c>
      <c r="AP50" s="935">
        <v>8</v>
      </c>
      <c r="AQ50" s="935">
        <v>8</v>
      </c>
      <c r="AR50" s="935">
        <v>8</v>
      </c>
      <c r="AS50" s="935">
        <v>8</v>
      </c>
      <c r="AT50" s="935">
        <v>8</v>
      </c>
      <c r="AU50" s="935">
        <v>8</v>
      </c>
      <c r="AV50" s="935">
        <v>8</v>
      </c>
      <c r="AW50" s="935">
        <v>8</v>
      </c>
      <c r="AX50" s="935">
        <v>8</v>
      </c>
      <c r="AY50" s="935">
        <v>8</v>
      </c>
      <c r="AZ50" s="935">
        <v>8</v>
      </c>
      <c r="BA50" s="935">
        <v>8</v>
      </c>
      <c r="BB50" s="935">
        <v>8</v>
      </c>
      <c r="BC50" s="935">
        <v>8</v>
      </c>
      <c r="BD50" s="935">
        <v>8</v>
      </c>
      <c r="BE50" s="935">
        <v>8</v>
      </c>
      <c r="BF50" s="935">
        <v>8</v>
      </c>
      <c r="BG50" s="935">
        <v>8</v>
      </c>
      <c r="BH50" s="935">
        <v>8</v>
      </c>
      <c r="BI50" s="935">
        <v>8</v>
      </c>
      <c r="BJ50" s="935">
        <v>8</v>
      </c>
      <c r="BK50" s="935">
        <v>8</v>
      </c>
      <c r="BL50" s="935">
        <v>8</v>
      </c>
      <c r="BM50" s="80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A40A14-D916-C481-64BB-67F257398BD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50942" width="1.7109375" customWidth="1"/>
    <col min="2" max="2" style="50942" width="34.57421875" customWidth="1"/>
    <col min="3" max="3" style="50942" width="85.00390625" customWidth="1"/>
    <col min="4" max="4" style="50942" width="17.00390625" customWidth="1"/>
    <col min="5" max="5" style="50942" width="8.00390625" customWidth="1"/>
    <col min="6" max="6" style="50942" width="9.140625" hidden="1"/>
  </cols>
  <sheetData>
    <row customHeight="1" ht="3">
      <c r="F1" s="601" t="s">
        <v>14</v>
      </c>
    </row>
    <row customHeight="1" ht="22.5">
      <c r="B2" s="3125" t="s">
        <v>2040</v>
      </c>
      <c r="C2" s="3012"/>
      <c r="D2" s="3012"/>
      <c r="E2" s="780"/>
      <c r="F2" s="601">
        <v>22</v>
      </c>
    </row>
    <row customHeight="1" ht="3">
      <c r="F3" s="601">
        <v>3</v>
      </c>
    </row>
    <row customHeight="1" ht="23.25">
      <c r="B4" s="3126" t="s">
        <v>2041</v>
      </c>
      <c r="C4" s="895" t="s">
        <v>2042</v>
      </c>
      <c r="D4" s="895" t="s">
        <v>2043</v>
      </c>
      <c r="F4" s="601">
        <v>22</v>
      </c>
    </row>
    <row customHeight="1" ht="11.25" hidden="1">
      <c r="A5" s="601" t="s">
        <v>84</v>
      </c>
      <c r="B5" s="601">
        <v>34</v>
      </c>
      <c r="C5" s="601">
        <v>85</v>
      </c>
      <c r="D5" s="601">
        <v>17</v>
      </c>
      <c r="E5" s="601">
        <v>8</v>
      </c>
      <c r="F5" s="601">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C19784-0129-BD5D-173F-2BCAA8662656}"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50942" width="26.57421875" customWidth="1"/>
    <col min="2" max="2" style="50942" width="10.00390625" customWidth="1"/>
    <col min="3" max="3" style="50942" width="9.140625"/>
    <col min="4" max="4" style="50942" width="11.140625" customWidth="1"/>
    <col min="5" max="5" style="50942" width="16.57421875" customWidth="1"/>
    <col min="6" max="6" style="50942" width="16.28125" customWidth="1"/>
    <col min="7" max="7" style="50942" width="19.140625" customWidth="1"/>
    <col min="8" max="11" style="50942" width="10.00390625" customWidth="1"/>
    <col min="12" max="12" style="50942" width="12.7109375" customWidth="1"/>
    <col min="13" max="13" style="50942" width="61.28125" customWidth="1"/>
    <col min="14" max="14" style="50942" width="10.00390625" customWidth="1"/>
    <col min="15" max="17" style="50942" width="23.7109375" customWidth="1"/>
    <col min="18" max="18" style="50942" width="11.7109375" customWidth="1"/>
    <col min="19" max="19" style="50942" width="8.57421875" customWidth="1"/>
    <col min="20" max="20" style="50942" width="11.7109375" customWidth="1"/>
    <col min="21" max="21" style="50942" width="8.57421875" customWidth="1"/>
    <col min="22" max="22" style="50942" width="4.7109375" customWidth="1"/>
    <col min="23" max="23" style="50942" width="115.7109375" customWidth="1"/>
    <col min="24" max="24" style="50942" width="115.28125" customWidth="1"/>
    <col min="25" max="27" style="50942" width="9.140625"/>
    <col min="28" max="28" style="50942" width="115.7109375" customWidth="1"/>
    <col min="29" max="29" style="50942" width="9.140625"/>
    <col min="30" max="90" style="50942" width="115.7109375" customWidth="1"/>
    <col min="91" max="184" style="50942" width="9.140625"/>
  </cols>
  <sheetData>
    <row r="2" s="61172" customFormat="1" customHeight="1" ht="17.25">
      <c r="A2" s="2327" t="s">
        <v>2044</v>
      </c>
    </row>
    <row r="4" s="61161" customFormat="1" customHeight="1" ht="15">
      <c r="C4" s="2328"/>
      <c r="D4" s="625"/>
      <c r="E4" s="889"/>
    </row>
    <row r="6" s="61172" customFormat="1" customHeight="1" ht="17.25">
      <c r="A6" s="2327" t="s">
        <v>2045</v>
      </c>
    </row>
    <row r="8" s="61161" customFormat="1" customHeight="1" ht="17.25">
      <c r="C8" s="2329"/>
      <c r="D8" s="625"/>
      <c r="E8" s="626"/>
    </row>
    <row r="11" s="61172" customFormat="1" customHeight="1" ht="17.25">
      <c r="A11" s="2327" t="s">
        <v>2046</v>
      </c>
    </row>
    <row r="13" s="50897" customFormat="1" customHeight="1" ht="15">
      <c r="A13" s="2729">
        <v>1</v>
      </c>
      <c r="B13" s="1672"/>
      <c r="C13" s="1313" t="s">
        <v>106</v>
      </c>
      <c r="D13" s="2330"/>
      <c r="E13" s="2317">
        <f>A13</f>
        <v>1</v>
      </c>
      <c r="F13" s="1316"/>
      <c r="G13" s="1052" t="str">
        <f>"Территория "&amp;E13</f>
        <v>Территория 1</v>
      </c>
      <c r="H13" s="1304"/>
      <c r="I13" s="1304"/>
      <c r="J13" s="1301"/>
      <c r="K13" s="2136"/>
      <c r="L13" s="2136"/>
      <c r="M13" s="2136"/>
      <c r="N13" s="738"/>
      <c r="O13" s="2136"/>
      <c r="P13" s="737"/>
      <c r="Q13" s="737"/>
      <c r="R13" s="737"/>
      <c r="S13" s="737"/>
    </row>
    <row s="50942" customFormat="1" customHeight="1" ht="15">
      <c r="A14" s="2729"/>
      <c r="B14" s="1672">
        <v>1</v>
      </c>
      <c r="C14" s="1672"/>
      <c r="D14" s="1312"/>
      <c r="E14" s="2325" t="str">
        <f>A13&amp;"."&amp;B14</f>
        <v>1.1</v>
      </c>
      <c r="F14" s="1315">
        <f>$F$20</f>
        <v>0</v>
      </c>
      <c r="G14" s="1305"/>
      <c r="H14" s="1305"/>
      <c r="I14" s="1303"/>
      <c r="J14" s="2136"/>
      <c r="K14" s="2148"/>
      <c r="L14" s="2148"/>
      <c r="M14" s="2136" t="str">
        <f t="array" ref="M14:M14">IF(ISERROR(MATCH(MID(N14,1,250),MID(note_ter,1,250),0)),"n","y")</f>
        <v>n</v>
      </c>
      <c r="N14" s="2148"/>
      <c r="O14" s="2136" t="str">
        <f>H14&amp;"("&amp;I14&amp;")"</f>
        <v>()</v>
      </c>
      <c r="P14" s="1672"/>
      <c r="Q14" s="1672"/>
      <c r="R14" s="932"/>
      <c r="S14" s="1672"/>
      <c r="T14" s="1672"/>
      <c r="U14" s="1672"/>
      <c r="V14" s="934"/>
      <c r="W14" s="934"/>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4"/>
      <c r="BT14" s="934"/>
      <c r="BU14" s="934"/>
      <c r="BV14" s="934"/>
      <c r="BW14" s="934"/>
      <c r="BX14" s="934"/>
      <c r="BY14" s="934"/>
      <c r="BZ14" s="934"/>
      <c r="CA14" s="934"/>
      <c r="CB14" s="934"/>
    </row>
    <row s="50942" customFormat="1" customHeight="1" ht="15">
      <c r="A15" s="2729"/>
      <c r="B15" s="1672"/>
      <c r="C15" s="924"/>
      <c r="D15" s="1313"/>
      <c r="E15" s="933"/>
      <c r="F15" s="689"/>
      <c r="G15" s="927" t="s">
        <v>104</v>
      </c>
      <c r="H15" s="699"/>
      <c r="I15" s="936"/>
      <c r="J15" s="2148"/>
      <c r="K15" s="2148"/>
      <c r="L15" s="2148"/>
      <c r="M15" s="2148"/>
      <c r="N15" s="2136"/>
      <c r="O15" s="2148"/>
      <c r="P15" s="1672"/>
      <c r="Q15" s="1672"/>
      <c r="R15" s="932"/>
      <c r="S15" s="1672"/>
      <c r="T15" s="1672"/>
      <c r="U15" s="1672"/>
      <c r="V15" s="934"/>
      <c r="W15" s="934"/>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c r="BK15" s="931"/>
      <c r="BL15" s="931"/>
      <c r="BM15" s="931"/>
      <c r="BN15" s="931"/>
      <c r="BO15" s="931"/>
      <c r="BP15" s="931"/>
      <c r="BQ15" s="931"/>
      <c r="BR15" s="931"/>
      <c r="BS15" s="934"/>
      <c r="BT15" s="934"/>
      <c r="BU15" s="934"/>
      <c r="BV15" s="934"/>
      <c r="BW15" s="934"/>
      <c r="BX15" s="934"/>
      <c r="BY15" s="934"/>
      <c r="BZ15" s="934"/>
      <c r="CA15" s="934"/>
      <c r="CB15" s="934"/>
    </row>
    <row r="17" s="61172" customFormat="1" customHeight="1" ht="17.25">
      <c r="A17" s="2327" t="s">
        <v>2047</v>
      </c>
    </row>
    <row r="19" s="50942" customFormat="1" customHeight="1" ht="15">
      <c r="A19" s="2394"/>
      <c r="B19" s="1878">
        <v>1</v>
      </c>
      <c r="C19" s="1878"/>
      <c r="D19" s="1312" t="s">
        <v>106</v>
      </c>
      <c r="E19" s="2390"/>
      <c r="F19" s="2395">
        <f>$F$20</f>
        <v>0</v>
      </c>
      <c r="G19" s="2399"/>
      <c r="H19" s="2399"/>
      <c r="I19" s="2397"/>
      <c r="J19" s="2136"/>
      <c r="K19" s="2148"/>
      <c r="L19" s="2148"/>
      <c r="M19" s="2136" t="str">
        <f t="array" ref="M19:M19">IF(ISERROR(MATCH(MID(N19,1,250),MID(note_ter,1,250),0)),"n","y")</f>
        <v>n</v>
      </c>
      <c r="N19" s="2148"/>
      <c r="O19" s="2136" t="str">
        <f>H19&amp;"("&amp;I19&amp;")"</f>
        <v>()</v>
      </c>
      <c r="P19" s="1878"/>
      <c r="Q19" s="1878"/>
      <c r="R19" s="932"/>
      <c r="S19" s="1878"/>
      <c r="T19" s="1878"/>
      <c r="U19" s="1878"/>
      <c r="V19" s="1345"/>
      <c r="W19" s="1345"/>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345"/>
      <c r="BT19" s="1345"/>
      <c r="BU19" s="1345"/>
      <c r="BV19" s="1345"/>
      <c r="BW19" s="1345"/>
      <c r="BX19" s="1345"/>
      <c r="BY19" s="1345"/>
      <c r="BZ19" s="1345"/>
      <c r="CA19" s="1345"/>
      <c r="CB19" s="1345"/>
    </row>
    <row r="21" s="50942" customFormat="1" customHeight="1" ht="15">
      <c r="A21" s="2327" t="s">
        <v>2048</v>
      </c>
      <c r="B21" s="2327"/>
      <c r="C21" s="2327"/>
      <c r="D21" s="2327"/>
      <c r="E21" s="2327"/>
      <c r="F21" s="2327"/>
      <c r="G21" s="2327"/>
      <c r="H21" s="2327"/>
      <c r="I21" s="2327"/>
      <c r="J21" s="2327"/>
      <c r="K21" s="2327"/>
      <c r="L21" s="2327"/>
      <c r="M21" s="2327"/>
      <c r="N21" s="2327"/>
      <c r="O21" s="2327"/>
      <c r="P21" s="2327"/>
      <c r="Q21" s="2327"/>
      <c r="R21" s="2327"/>
      <c r="S21" s="2327"/>
      <c r="T21" s="2327"/>
      <c r="U21" s="696"/>
      <c r="V21" s="2327"/>
      <c r="W21" s="2327"/>
    </row>
    <row s="50942" customFormat="1" customHeight="1" ht="15">
      <c r="U22" s="697"/>
    </row>
    <row s="51018" customFormat="1" customHeight="1" ht="15">
      <c r="A23" s="935"/>
      <c r="B23" s="935"/>
      <c r="C23" s="2240" t="s">
        <v>106</v>
      </c>
      <c r="D23" s="2620" t="s">
        <v>101</v>
      </c>
      <c r="E23" s="2621"/>
      <c r="F23" s="2619" t="s">
        <v>19</v>
      </c>
      <c r="G23" s="3069"/>
      <c r="H23" s="2639">
        <v>1</v>
      </c>
      <c r="I23" s="3071" t="str">
        <f>IF(U23="","",INDEX(TERRITORY_MR_LIST,MATCH(U23,TERRITORY_LIST_ID,0)))</f>
        <v/>
      </c>
      <c r="J23" s="2619" t="s">
        <v>19</v>
      </c>
      <c r="K23" s="1344"/>
      <c r="L23" s="2294" t="s">
        <v>101</v>
      </c>
      <c r="M23" s="1115"/>
      <c r="N23" s="1116"/>
      <c r="O23" s="1116"/>
      <c r="P23" s="1116"/>
      <c r="Q23" s="1116"/>
      <c r="R23" s="1116"/>
      <c r="S23" s="1116"/>
      <c r="T23" s="1116"/>
      <c r="U23" s="1117"/>
      <c r="V23" s="1116"/>
      <c r="W23" s="1116"/>
      <c r="X23" s="1107"/>
      <c r="Y23" s="1107" t="s">
        <v>184</v>
      </c>
      <c r="Z23" s="1107">
        <v>1705000</v>
      </c>
      <c r="AA23" s="1107"/>
      <c r="AB23" s="1107"/>
      <c r="AC23" s="1107"/>
      <c r="AD23" s="1107"/>
      <c r="AE23" s="1107"/>
      <c r="AF23" s="1107"/>
      <c r="AG23" s="1107"/>
      <c r="AH23" s="1107"/>
      <c r="AI23" s="1107"/>
      <c r="AJ23" s="1107"/>
      <c r="AK23" s="1107"/>
      <c r="AL23" s="1107"/>
    </row>
    <row s="51018" customFormat="1" customHeight="1" ht="15">
      <c r="A24" s="935"/>
      <c r="B24" s="935"/>
      <c r="C24" s="688"/>
      <c r="D24" s="2620"/>
      <c r="E24" s="2622"/>
      <c r="F24" s="2619"/>
      <c r="G24" s="3070"/>
      <c r="H24" s="2639"/>
      <c r="I24" s="3072"/>
      <c r="J24" s="2619"/>
      <c r="K24" s="933"/>
      <c r="L24" s="689"/>
      <c r="M24" s="1119" t="s">
        <v>185</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row>
    <row s="51018" customFormat="1" customHeight="1" ht="15">
      <c r="A25" s="935"/>
      <c r="B25" s="935"/>
      <c r="C25" s="688"/>
      <c r="D25" s="2620"/>
      <c r="E25" s="2623"/>
      <c r="F25" s="2619"/>
      <c r="G25" s="933"/>
      <c r="H25" s="689"/>
      <c r="I25" s="1092" t="s">
        <v>186</v>
      </c>
      <c r="J25" s="689"/>
      <c r="K25" s="689"/>
      <c r="L25" s="689"/>
      <c r="M25" s="1120"/>
      <c r="N25" s="1116"/>
      <c r="O25" s="1116"/>
      <c r="P25" s="1116"/>
      <c r="Q25" s="1116"/>
      <c r="R25" s="1116"/>
      <c r="S25" s="1116"/>
      <c r="T25" s="1116"/>
      <c r="U25" s="1117"/>
      <c r="V25" s="1116"/>
      <c r="W25" s="1116"/>
      <c r="X25" s="1107"/>
      <c r="Y25" s="1107"/>
      <c r="Z25" s="1107"/>
      <c r="AA25" s="1107"/>
      <c r="AB25" s="1107"/>
      <c r="AC25" s="1107"/>
      <c r="AD25" s="1107"/>
      <c r="AE25" s="1107"/>
      <c r="AF25" s="1107"/>
      <c r="AG25" s="1107"/>
      <c r="AH25" s="1107"/>
      <c r="AI25" s="1107"/>
      <c r="AJ25" s="1107"/>
      <c r="AK25" s="1107"/>
      <c r="AL25" s="1107"/>
    </row>
    <row s="50942" customFormat="1" customHeight="1" ht="15">
      <c r="U26" s="697"/>
    </row>
    <row s="50942" customFormat="1" customHeight="1" ht="15">
      <c r="A27" s="2327" t="s">
        <v>2049</v>
      </c>
      <c r="B27" s="2327"/>
      <c r="C27" s="2327"/>
      <c r="D27" s="2327"/>
      <c r="E27" s="2327"/>
      <c r="F27" s="2327"/>
      <c r="G27" s="2327"/>
      <c r="H27" s="2327"/>
      <c r="I27" s="2327"/>
      <c r="J27" s="2327"/>
      <c r="K27" s="2327"/>
      <c r="L27" s="2327"/>
      <c r="M27" s="2327"/>
      <c r="N27" s="2327"/>
      <c r="O27" s="2327"/>
      <c r="P27" s="2327"/>
      <c r="Q27" s="2327"/>
      <c r="R27" s="2327"/>
      <c r="S27" s="2327"/>
      <c r="T27" s="2327"/>
      <c r="U27" s="696"/>
      <c r="V27" s="2327"/>
      <c r="W27" s="2327"/>
    </row>
    <row s="50942" customFormat="1" customHeight="1" ht="15">
      <c r="U28" s="697"/>
    </row>
    <row s="51018" customFormat="1" customHeight="1" ht="15">
      <c r="A29" s="935"/>
      <c r="B29" s="935"/>
      <c r="C29" s="688"/>
      <c r="D29" s="2333"/>
      <c r="E29" s="2333"/>
      <c r="F29" s="2333"/>
      <c r="G29" s="3073" t="s">
        <v>106</v>
      </c>
      <c r="H29" s="2615">
        <v>1</v>
      </c>
      <c r="I29" s="3074" t="str">
        <f>IF(U29="","",INDEX(TERRITORY_MR_LIST,MATCH(U29,TERRITORY_LIST_ID,0)))</f>
        <v/>
      </c>
      <c r="J29" s="2619" t="s">
        <v>19</v>
      </c>
      <c r="K29" s="1344"/>
      <c r="L29" s="2294" t="s">
        <v>101</v>
      </c>
      <c r="M29" s="1115"/>
      <c r="N29" s="1116"/>
      <c r="O29" s="1116"/>
      <c r="P29" s="1116"/>
      <c r="Q29" s="1116"/>
      <c r="R29" s="1116"/>
      <c r="S29" s="1116"/>
      <c r="T29" s="1116"/>
      <c r="U29" s="1117"/>
      <c r="V29" s="1116"/>
      <c r="W29" s="1116"/>
      <c r="X29" s="1107"/>
      <c r="Y29" s="1107" t="s">
        <v>184</v>
      </c>
      <c r="Z29" s="1107">
        <v>1705000</v>
      </c>
      <c r="AA29" s="1107"/>
      <c r="AB29" s="1107"/>
      <c r="AC29" s="1107"/>
      <c r="AD29" s="1107"/>
      <c r="AE29" s="1107"/>
      <c r="AF29" s="1107"/>
      <c r="AG29" s="1107"/>
      <c r="AH29" s="1107"/>
      <c r="AI29" s="1107"/>
      <c r="AJ29" s="1107"/>
      <c r="AK29" s="1107"/>
      <c r="AL29" s="1107"/>
    </row>
    <row s="51018" customFormat="1" customHeight="1" ht="15">
      <c r="A30" s="935"/>
      <c r="B30" s="935"/>
      <c r="C30" s="688"/>
      <c r="D30" s="2333"/>
      <c r="E30" s="2333"/>
      <c r="F30" s="2333"/>
      <c r="G30" s="3073"/>
      <c r="H30" s="2615"/>
      <c r="I30" s="3074"/>
      <c r="J30" s="2619"/>
      <c r="K30" s="933"/>
      <c r="L30" s="689"/>
      <c r="M30" s="1119" t="s">
        <v>185</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row>
    <row s="50942" customFormat="1" customHeight="1" ht="15">
      <c r="U31" s="697"/>
    </row>
    <row s="50942" customFormat="1" customHeight="1" ht="15">
      <c r="A32" s="2327" t="s">
        <v>2050</v>
      </c>
      <c r="B32" s="2327"/>
      <c r="C32" s="2327"/>
      <c r="D32" s="2327"/>
      <c r="E32" s="2327"/>
      <c r="F32" s="2327"/>
      <c r="G32" s="2327"/>
      <c r="H32" s="2327"/>
      <c r="I32" s="2327"/>
      <c r="J32" s="2327"/>
      <c r="K32" s="2327"/>
      <c r="L32" s="2327"/>
      <c r="M32" s="2327"/>
      <c r="N32" s="2327"/>
      <c r="O32" s="2327"/>
      <c r="P32" s="2327"/>
      <c r="Q32" s="2327"/>
      <c r="R32" s="2327"/>
      <c r="S32" s="2327"/>
      <c r="T32" s="2327"/>
      <c r="U32" s="696"/>
      <c r="V32" s="2327"/>
      <c r="W32" s="2327"/>
    </row>
    <row s="50942" customFormat="1" customHeight="1" ht="15">
      <c r="U33" s="697"/>
    </row>
    <row s="51018" customFormat="1" customHeight="1" ht="15">
      <c r="A34" s="935"/>
      <c r="B34" s="935"/>
      <c r="C34" s="688"/>
      <c r="D34" s="2333"/>
      <c r="E34" s="2333"/>
      <c r="F34" s="2333"/>
      <c r="G34" s="2333"/>
      <c r="H34" s="2333"/>
      <c r="I34" s="2333"/>
      <c r="J34" s="2333"/>
      <c r="K34" s="2311" t="s">
        <v>106</v>
      </c>
      <c r="L34" s="2241" t="s">
        <v>101</v>
      </c>
      <c r="M34" s="1323"/>
      <c r="N34" s="1324"/>
      <c r="O34" s="1116"/>
      <c r="P34" s="1116"/>
      <c r="Q34" s="1116"/>
      <c r="R34" s="1116"/>
      <c r="S34" s="1116"/>
      <c r="T34" s="1116"/>
      <c r="U34" s="1117"/>
      <c r="V34" s="1116"/>
      <c r="W34" s="1116"/>
      <c r="X34" s="1107"/>
      <c r="Y34" s="1107" t="s">
        <v>184</v>
      </c>
      <c r="Z34" s="1107">
        <v>1705000</v>
      </c>
      <c r="AA34" s="1107"/>
      <c r="AB34" s="1107"/>
      <c r="AC34" s="1107"/>
      <c r="AD34" s="1107"/>
      <c r="AE34" s="1107"/>
      <c r="AF34" s="1107"/>
      <c r="AG34" s="1107"/>
      <c r="AH34" s="1107"/>
      <c r="AI34" s="1107"/>
      <c r="AJ34" s="1107"/>
      <c r="AK34" s="1107"/>
      <c r="AL34" s="1107"/>
    </row>
    <row s="50942" customFormat="1" customHeight="1" ht="15">
      <c r="U35" s="697"/>
    </row>
    <row s="50942" customFormat="1" customHeight="1" ht="15">
      <c r="U36" s="697"/>
    </row>
    <row s="61172" customFormat="1" customHeight="1" ht="11.25">
      <c r="A37" s="2327" t="s">
        <v>2051</v>
      </c>
    </row>
    <row customHeight="1" ht="11.25"/>
    <row s="51520" customFormat="1" customHeight="1" ht="22.5">
      <c r="A39" s="2303"/>
      <c r="B39" s="969"/>
      <c r="C39" s="1371"/>
      <c r="D39" s="952"/>
      <c r="E39" s="1372"/>
      <c r="F39" s="2324"/>
      <c r="G39" s="2334"/>
      <c r="H39" s="987"/>
    </row>
    <row customHeight="1" ht="11.25"/>
    <row s="61172" customFormat="1" customHeight="1" ht="11.25">
      <c r="A41" s="2327" t="s">
        <v>2052</v>
      </c>
    </row>
    <row customHeight="1" ht="11.25"/>
    <row s="51520" customFormat="1" customHeight="1" ht="22.5">
      <c r="A43" s="969"/>
      <c r="B43" s="969"/>
      <c r="C43" s="969"/>
      <c r="D43" s="952"/>
      <c r="E43" s="1372"/>
      <c r="F43" s="1373"/>
      <c r="G43" s="2334"/>
      <c r="H43" s="987"/>
    </row>
    <row customHeight="1" ht="11.25"/>
    <row s="61172" customFormat="1" customHeight="1" ht="11.25">
      <c r="A45" s="2327" t="s">
        <v>2053</v>
      </c>
    </row>
    <row customHeight="1" ht="11.25"/>
    <row s="51520" customFormat="1" customHeight="1" ht="24">
      <c r="A47" s="2714" t="s">
        <v>452</v>
      </c>
      <c r="B47" s="1014"/>
      <c r="C47" s="2725"/>
      <c r="D47" s="957" t="str">
        <f>A47</f>
        <v>5.1</v>
      </c>
      <c r="E47" s="954" t="s">
        <v>453</v>
      </c>
      <c r="F47" s="2488" t="s">
        <v>445</v>
      </c>
      <c r="G47" s="956" t="s">
        <v>454</v>
      </c>
      <c r="H47" s="987"/>
      <c r="I47" s="1364"/>
    </row>
    <row s="51520" customFormat="1" customHeight="1" ht="22.5">
      <c r="A48" s="2714"/>
      <c r="B48" s="1014"/>
      <c r="C48" s="2725"/>
      <c r="D48" s="952" t="str">
        <f>D47&amp;".1"</f>
        <v>5.1.1</v>
      </c>
      <c r="E48" s="951" t="s">
        <v>455</v>
      </c>
      <c r="F48" s="2489" t="s">
        <v>28</v>
      </c>
      <c r="G48" s="986"/>
      <c r="H48" s="987"/>
      <c r="I48" s="1364"/>
    </row>
    <row s="51520" customFormat="1" customHeight="1" ht="22.5">
      <c r="A49" s="2714"/>
      <c r="B49" s="1014"/>
      <c r="C49" s="2725"/>
      <c r="D49" s="952" t="str">
        <f>D47&amp;".2"</f>
        <v>5.1.2</v>
      </c>
      <c r="E49" s="951" t="s">
        <v>456</v>
      </c>
      <c r="F49" s="2244" t="s">
        <v>28</v>
      </c>
      <c r="G49" s="956" t="s">
        <v>457</v>
      </c>
      <c r="H49" s="987"/>
      <c r="I49" s="1364"/>
    </row>
    <row s="51520" customFormat="1" customHeight="1" ht="22.5">
      <c r="A50" s="2714"/>
      <c r="B50" s="1014"/>
      <c r="C50" s="2725"/>
      <c r="D50" s="952" t="str">
        <f>D47&amp;".3"</f>
        <v>5.1.3</v>
      </c>
      <c r="E50" s="951" t="s">
        <v>458</v>
      </c>
      <c r="F50" s="2489" t="s">
        <v>28</v>
      </c>
      <c r="G50" s="986"/>
      <c r="H50" s="987"/>
      <c r="I50" s="1364"/>
    </row>
    <row s="51520" customFormat="1" customHeight="1" ht="22.5">
      <c r="A51" s="2714"/>
      <c r="B51" s="1014"/>
      <c r="C51" s="2725"/>
      <c r="D51" s="952" t="str">
        <f>D47&amp;".4"</f>
        <v>5.1.4</v>
      </c>
      <c r="E51" s="951" t="s">
        <v>459</v>
      </c>
      <c r="F51" s="2489" t="s">
        <v>28</v>
      </c>
      <c r="G51" s="956" t="s">
        <v>460</v>
      </c>
      <c r="H51" s="987"/>
      <c r="I51" s="1364"/>
    </row>
    <row r="54" s="61172" customFormat="1" customHeight="1" ht="17.25">
      <c r="A54" s="2327" t="s">
        <v>2054</v>
      </c>
    </row>
    <row r="56" s="50776" customFormat="1" customHeight="1" ht="18.75">
      <c r="A56" s="601"/>
      <c r="B56" s="2335"/>
      <c r="C56" s="2335"/>
      <c r="D56" s="2336"/>
      <c r="E56" s="2321"/>
      <c r="F56" s="1380">
        <v>13</v>
      </c>
      <c r="G56" s="1379"/>
      <c r="H56" s="1305"/>
      <c r="I56" s="1303"/>
      <c r="J56" s="1032" t="s">
        <v>63</v>
      </c>
      <c r="K56" s="2337" t="s">
        <v>28</v>
      </c>
      <c r="L56" s="601"/>
      <c r="M56" s="2148"/>
      <c r="N56" s="2148"/>
      <c r="O56" s="2148"/>
      <c r="P56" s="1028" t="s">
        <v>531</v>
      </c>
      <c r="Q56" s="1028" t="s">
        <v>532</v>
      </c>
      <c r="R56" s="1029" t="s">
        <v>533</v>
      </c>
      <c r="S56" s="2148" t="s">
        <v>534</v>
      </c>
      <c r="T56" s="2148"/>
      <c r="U56" s="2148"/>
      <c r="V56" s="2148"/>
    </row>
    <row r="58" s="61172" customFormat="1" customHeight="1" ht="11.25">
      <c r="A58" s="2327" t="s">
        <v>2055</v>
      </c>
    </row>
    <row r="60" s="50801" customFormat="1" customHeight="1" ht="14.25">
      <c r="C60" s="2200"/>
      <c r="D60" s="2381"/>
      <c r="E60" s="2289" t="s">
        <v>28</v>
      </c>
      <c r="F60" s="2380"/>
      <c r="G60" s="1368"/>
      <c r="H60" s="2290"/>
      <c r="I60" s="2290"/>
      <c r="J60" s="945"/>
      <c r="K60" s="2375"/>
      <c r="L60" s="944"/>
      <c r="M60" s="2375"/>
      <c r="N60" s="945"/>
      <c r="O60" s="2375"/>
      <c r="P60" s="945"/>
      <c r="Q60" s="2375"/>
      <c r="R60" s="945"/>
      <c r="S60" s="1366"/>
      <c r="T60" s="2290"/>
      <c r="U60" s="945"/>
      <c r="V60" s="945"/>
      <c r="W60" s="2379"/>
      <c r="X60" s="2290"/>
      <c r="Y60" s="945"/>
      <c r="Z60" s="945"/>
      <c r="AA60" s="2379"/>
      <c r="AB60" s="2290"/>
      <c r="AC60" s="945"/>
      <c r="AD60" s="2379"/>
      <c r="AE60" s="601"/>
      <c r="AF60" s="601"/>
      <c r="AG60" s="601"/>
      <c r="AH60" s="601"/>
      <c r="AJ60" s="2148"/>
      <c r="AK60" s="2148"/>
      <c r="AL60" s="2148"/>
      <c r="AM60" s="2148"/>
      <c r="AN60" s="2148"/>
      <c r="AO60" s="2148"/>
      <c r="AP60" s="2136" t="s">
        <v>520</v>
      </c>
      <c r="AQ60" s="2136" t="s">
        <v>520</v>
      </c>
      <c r="AR60" s="2148"/>
      <c r="AS60" s="2148"/>
    </row>
    <row r="62" s="61172" customFormat="1" customHeight="1" ht="11.25">
      <c r="A62" s="2327" t="s">
        <v>2056</v>
      </c>
    </row>
    <row r="64" s="60860" customFormat="1" customHeight="1" ht="15">
      <c r="A64" s="657" t="s">
        <v>92</v>
      </c>
      <c r="B64" s="637" t="s">
        <v>28</v>
      </c>
      <c r="C64" s="2338"/>
      <c r="D64" s="640"/>
      <c r="E64" s="893"/>
      <c r="F64" s="893"/>
      <c r="G64" s="2315"/>
      <c r="H64" s="2337"/>
      <c r="I64" s="2316"/>
      <c r="K64" s="784"/>
      <c r="L64" s="785"/>
    </row>
    <row r="66" s="61172" customFormat="1" customHeight="1" ht="11.25">
      <c r="A66" s="2327" t="s">
        <v>2057</v>
      </c>
    </row>
    <row r="68" s="50801" customFormat="1" customHeight="1" ht="14.25">
      <c r="A68" s="855"/>
      <c r="B68" s="1672"/>
      <c r="C68" s="888"/>
      <c r="D68" s="2322"/>
      <c r="E68" s="1398"/>
      <c r="F68" s="2337"/>
      <c r="G68" s="601"/>
      <c r="I68" s="2136"/>
      <c r="J68" s="2136"/>
    </row>
    <row r="70" s="61172" customFormat="1" customHeight="1" ht="11.25">
      <c r="A70" s="2327" t="s">
        <v>2058</v>
      </c>
    </row>
    <row r="72" s="50801" customFormat="1" customHeight="1" ht="27">
      <c r="A72" s="1678"/>
      <c r="B72" s="1678"/>
      <c r="C72" s="1678"/>
      <c r="D72" s="1672"/>
      <c r="E72" s="2339"/>
      <c r="F72" s="3093"/>
      <c r="G72" s="3094"/>
      <c r="H72" s="3095" t="s">
        <v>63</v>
      </c>
      <c r="I72" s="3097"/>
      <c r="J72" s="3060"/>
      <c r="K72" s="3099"/>
      <c r="L72" s="3062"/>
      <c r="M72" s="3062"/>
      <c r="N72" s="3063"/>
      <c r="O72" s="3063"/>
      <c r="P72" s="3064">
        <f>DATEDIF(DATEVALUE(N72),DATEVALUE(O72),"y")&amp;"г. "&amp;DATEDIF(DATEVALUE(N72),DATEVALUE(O72),"ym")&amp;"мес. "&amp;DATEVALUE(O72)-DATE(YEAR(DATEVALUE(O72)),MONTH(DATEVALUE(O72)),1)&amp;"дн. "</f>
      </c>
      <c r="Q72" s="3059"/>
      <c r="R72" s="3059"/>
      <c r="S72" s="3059"/>
      <c r="T72" s="3060"/>
      <c r="U72" s="3059"/>
      <c r="V72" s="3059"/>
      <c r="W72" s="3059"/>
      <c r="X72" s="3060"/>
      <c r="Y72" s="3057" t="s">
        <v>63</v>
      </c>
      <c r="Z72" s="2320"/>
      <c r="AA72" s="2304">
        <v>1</v>
      </c>
      <c r="AB72" s="1754"/>
      <c r="AD72" s="2148" t="s">
        <v>2059</v>
      </c>
    </row>
    <row s="50801" customFormat="1" customHeight="1" ht="10.5">
      <c r="A73" s="1678"/>
      <c r="B73" s="1678"/>
      <c r="C73" s="1678"/>
      <c r="D73" s="1672"/>
      <c r="E73" s="1459"/>
      <c r="F73" s="3093"/>
      <c r="G73" s="3094"/>
      <c r="H73" s="3096"/>
      <c r="I73" s="3098"/>
      <c r="J73" s="3061"/>
      <c r="K73" s="3099"/>
      <c r="L73" s="3062"/>
      <c r="M73" s="3062"/>
      <c r="N73" s="3063"/>
      <c r="O73" s="3063"/>
      <c r="P73" s="3064"/>
      <c r="Q73" s="3059"/>
      <c r="R73" s="3059"/>
      <c r="S73" s="3059"/>
      <c r="T73" s="3061"/>
      <c r="U73" s="3059"/>
      <c r="V73" s="3059"/>
      <c r="W73" s="3059"/>
      <c r="X73" s="3061"/>
      <c r="Y73" s="3058"/>
      <c r="Z73" s="859"/>
      <c r="AA73" s="1084"/>
      <c r="AB73" s="1164" t="s">
        <v>2060</v>
      </c>
    </row>
    <row r="75" s="61172" customFormat="1" customHeight="1" ht="11.25">
      <c r="A75" s="2327" t="s">
        <v>2061</v>
      </c>
    </row>
    <row r="77" s="50801" customFormat="1" customHeight="1" ht="27">
      <c r="A77" s="1678"/>
      <c r="B77" s="1678"/>
      <c r="C77" s="1678"/>
      <c r="D77" s="1672"/>
      <c r="E77" s="2339"/>
      <c r="F77" s="2309"/>
      <c r="G77" s="2259"/>
      <c r="H77" s="2260"/>
      <c r="I77" s="2261"/>
      <c r="J77" s="2262"/>
      <c r="K77" s="2263"/>
      <c r="L77" s="2264"/>
      <c r="M77" s="2264"/>
      <c r="N77" s="2265"/>
      <c r="O77" s="2265"/>
      <c r="P77" s="2266"/>
      <c r="Q77" s="2267"/>
      <c r="R77" s="2267"/>
      <c r="S77" s="2267"/>
      <c r="T77" s="2262"/>
      <c r="U77" s="2267"/>
      <c r="V77" s="2267"/>
      <c r="W77" s="2267"/>
      <c r="X77" s="2262"/>
      <c r="Y77" s="2260"/>
      <c r="Z77" s="2320"/>
      <c r="AA77" s="2304">
        <v>1</v>
      </c>
      <c r="AB77" s="1754"/>
      <c r="AD77" s="2148" t="s">
        <v>2059</v>
      </c>
    </row>
    <row r="79" s="61172" customFormat="1" customHeight="1" ht="11.25">
      <c r="A79" s="2327" t="s">
        <v>2062</v>
      </c>
    </row>
    <row customHeight="1" ht="17.25"/>
    <row s="50801" customFormat="1" customHeight="1" ht="21">
      <c r="A81" s="1679"/>
      <c r="B81" s="1678"/>
      <c r="C81" s="1678"/>
      <c r="D81" s="1672"/>
      <c r="E81" s="1682"/>
      <c r="F81" s="1634">
        <f>INDEX(IP_MAIN_LIST_NAME_IP,MATCH(A81,IP_MAIN_LIST_IP_ID,0))&amp;" ("&amp;INDEX(IP_MAIN_START_DATE,MATCH(A81,IP_MAIN_LIST_IP_ID,0))&amp;"-"&amp;INDEX(IP_MAIN_END_DATE,MATCH(A81,IP_MAIN_LIST_IP_ID,0))&amp;")"</f>
      </c>
      <c r="G81" s="1635"/>
      <c r="H81" s="1635"/>
      <c r="I81" s="1697"/>
      <c r="J81" s="1697"/>
      <c r="K81" s="1698"/>
      <c r="L81" s="1698"/>
      <c r="M81" s="1698"/>
      <c r="N81" s="1699"/>
      <c r="O81" s="1699"/>
      <c r="P81" s="1699"/>
      <c r="Q81" s="1699"/>
      <c r="R81" s="1699"/>
      <c r="S81" s="1699"/>
      <c r="T81" s="1699"/>
      <c r="U81" s="1699"/>
      <c r="V81" s="1699"/>
      <c r="W81" s="1699"/>
      <c r="X81" s="1699"/>
      <c r="Y81" s="1699"/>
      <c r="Z81" s="1699"/>
      <c r="AA81" s="1699"/>
      <c r="AB81" s="1699"/>
      <c r="AC81" s="1699"/>
      <c r="AD81" s="1699"/>
      <c r="AE81" s="1700"/>
      <c r="AF81" s="1698"/>
      <c r="AG81" s="1698"/>
      <c r="AH81" s="1698"/>
      <c r="AI81" s="1698"/>
      <c r="AJ81" s="1698"/>
      <c r="AK81" s="1698"/>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row>
    <row s="50801" customFormat="1" customHeight="1" ht="0.75">
      <c r="A82" s="1678"/>
      <c r="B82" s="1678"/>
      <c r="C82" s="1678"/>
      <c r="D82" s="1672"/>
      <c r="E82" s="1682"/>
      <c r="F82" s="3048"/>
      <c r="G82" s="3027"/>
      <c r="H82" s="3052" t="s">
        <v>515</v>
      </c>
      <c r="I82" s="3053"/>
      <c r="J82" s="3054"/>
      <c r="K82" s="3054"/>
      <c r="L82" s="3046"/>
      <c r="M82" s="2780"/>
      <c r="N82" s="2548"/>
      <c r="O82" s="2547"/>
      <c r="P82" s="2548"/>
      <c r="Q82" s="2548"/>
      <c r="R82" s="2548"/>
      <c r="S82" s="2548"/>
      <c r="T82" s="2548"/>
      <c r="U82" s="2548"/>
      <c r="V82" s="2548"/>
      <c r="W82" s="2548"/>
      <c r="X82" s="2548"/>
      <c r="Y82" s="2548"/>
      <c r="Z82" s="2548"/>
      <c r="AA82" s="2548"/>
      <c r="AB82" s="2548"/>
      <c r="AC82" s="2548"/>
      <c r="AD82" s="2548"/>
      <c r="AE82" s="2548"/>
      <c r="AF82" s="3050"/>
      <c r="AG82" s="3046"/>
      <c r="AH82" s="3046"/>
      <c r="AI82" s="3050"/>
      <c r="AJ82" s="3046"/>
      <c r="AK82" s="3046"/>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row>
    <row s="50801" customFormat="1" customHeight="1" ht="0.75">
      <c r="A83" s="1678"/>
      <c r="B83" s="1678"/>
      <c r="C83" s="1678"/>
      <c r="D83" s="1672"/>
      <c r="E83" s="1682"/>
      <c r="F83" s="3048"/>
      <c r="G83" s="3027"/>
      <c r="H83" s="3052"/>
      <c r="I83" s="3053"/>
      <c r="J83" s="3054"/>
      <c r="K83" s="3054"/>
      <c r="L83" s="3046"/>
      <c r="M83" s="2780"/>
      <c r="N83" s="3055"/>
      <c r="O83" s="3056"/>
      <c r="P83" s="3100"/>
      <c r="Q83" s="3051"/>
      <c r="R83" s="3051"/>
      <c r="S83" s="3051"/>
      <c r="T83" s="3051"/>
      <c r="U83" s="3051"/>
      <c r="V83" s="3051"/>
      <c r="W83" s="3051"/>
      <c r="X83" s="3051"/>
      <c r="Y83" s="3051"/>
      <c r="Z83" s="2549"/>
      <c r="AA83" s="2550"/>
      <c r="AB83" s="2550"/>
      <c r="AC83" s="2551"/>
      <c r="AD83" s="2551"/>
      <c r="AE83" s="2552"/>
      <c r="AF83" s="3050"/>
      <c r="AG83" s="3046"/>
      <c r="AH83" s="3046"/>
      <c r="AI83" s="3050"/>
      <c r="AJ83" s="3046"/>
      <c r="AK83" s="3046"/>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row>
    <row s="50801" customFormat="1" customHeight="1" ht="0.75">
      <c r="A84" s="1678"/>
      <c r="B84" s="1678"/>
      <c r="C84" s="1678"/>
      <c r="D84" s="1672"/>
      <c r="E84" s="1682"/>
      <c r="F84" s="3048"/>
      <c r="G84" s="3027"/>
      <c r="H84" s="3052"/>
      <c r="I84" s="3053"/>
      <c r="J84" s="3054"/>
      <c r="K84" s="3054"/>
      <c r="L84" s="3046"/>
      <c r="M84" s="2780"/>
      <c r="N84" s="3055"/>
      <c r="O84" s="3056"/>
      <c r="P84" s="3101"/>
      <c r="Q84" s="3051"/>
      <c r="R84" s="3051"/>
      <c r="S84" s="3051"/>
      <c r="T84" s="3051"/>
      <c r="U84" s="3051"/>
      <c r="V84" s="3051"/>
      <c r="W84" s="3051"/>
      <c r="X84" s="3051"/>
      <c r="Y84" s="3051"/>
      <c r="Z84" s="2553"/>
      <c r="AA84" s="2554"/>
      <c r="AB84" s="2555"/>
      <c r="AC84" s="2556"/>
      <c r="AD84" s="2555"/>
      <c r="AE84" s="2556"/>
      <c r="AF84" s="3050"/>
      <c r="AG84" s="3046"/>
      <c r="AH84" s="3046"/>
      <c r="AI84" s="3050"/>
      <c r="AJ84" s="3046"/>
      <c r="AK84" s="3046"/>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row>
    <row s="50801" customFormat="1" customHeight="1" ht="0.75">
      <c r="A85" s="1678"/>
      <c r="B85" s="1678"/>
      <c r="C85" s="1678"/>
      <c r="D85" s="1672"/>
      <c r="E85" s="1682"/>
      <c r="F85" s="3048"/>
      <c r="G85" s="3027"/>
      <c r="H85" s="3052"/>
      <c r="I85" s="3053"/>
      <c r="J85" s="3054"/>
      <c r="K85" s="3054"/>
      <c r="L85" s="3046"/>
      <c r="M85" s="2780"/>
      <c r="N85" s="3055"/>
      <c r="O85" s="3056"/>
      <c r="P85" s="3102"/>
      <c r="Q85" s="3051"/>
      <c r="R85" s="3051"/>
      <c r="S85" s="3051"/>
      <c r="T85" s="3051"/>
      <c r="U85" s="3051"/>
      <c r="V85" s="3051"/>
      <c r="W85" s="3051"/>
      <c r="X85" s="3051"/>
      <c r="Y85" s="3051"/>
      <c r="Z85" s="2549"/>
      <c r="AA85" s="2550"/>
      <c r="AB85" s="2557"/>
      <c r="AC85" s="2551"/>
      <c r="AD85" s="2551"/>
      <c r="AE85" s="2558"/>
      <c r="AF85" s="3050"/>
      <c r="AG85" s="3046"/>
      <c r="AH85" s="3046"/>
      <c r="AI85" s="3050"/>
      <c r="AJ85" s="3046"/>
      <c r="AK85" s="3046"/>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row>
    <row s="50801" customFormat="1" customHeight="1" ht="0.75">
      <c r="A86" s="1678"/>
      <c r="B86" s="1678"/>
      <c r="C86" s="1678"/>
      <c r="D86" s="1672"/>
      <c r="E86" s="1682"/>
      <c r="F86" s="3048"/>
      <c r="G86" s="3027"/>
      <c r="H86" s="3052"/>
      <c r="I86" s="3053"/>
      <c r="J86" s="3054"/>
      <c r="K86" s="3054"/>
      <c r="L86" s="3046"/>
      <c r="M86" s="2780"/>
      <c r="N86" s="2550"/>
      <c r="O86" s="2550"/>
      <c r="P86" s="2557"/>
      <c r="Q86" s="2550"/>
      <c r="R86" s="2550"/>
      <c r="S86" s="2550"/>
      <c r="T86" s="2550"/>
      <c r="U86" s="2550"/>
      <c r="V86" s="2550"/>
      <c r="W86" s="2550"/>
      <c r="X86" s="2550"/>
      <c r="Y86" s="2550"/>
      <c r="Z86" s="2550"/>
      <c r="AA86" s="2550"/>
      <c r="AB86" s="2550"/>
      <c r="AC86" s="2550"/>
      <c r="AD86" s="2550"/>
      <c r="AE86" s="2559"/>
      <c r="AF86" s="3050"/>
      <c r="AG86" s="3046"/>
      <c r="AH86" s="3046"/>
      <c r="AI86" s="3050"/>
      <c r="AJ86" s="3046"/>
      <c r="AK86" s="3046"/>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row>
    <row s="50801" customFormat="1" customHeight="1" ht="12">
      <c r="A87" s="1678"/>
      <c r="B87" s="1678"/>
      <c r="C87" s="1678"/>
      <c r="D87" s="1672"/>
      <c r="E87" s="1682"/>
      <c r="F87" s="3049"/>
      <c r="G87" s="1702"/>
      <c r="H87" s="1702"/>
      <c r="I87" s="3047" t="s">
        <v>2063</v>
      </c>
      <c r="J87" s="3047"/>
      <c r="K87" s="3047"/>
      <c r="L87" s="1685"/>
      <c r="M87" s="1685"/>
      <c r="N87" s="1686"/>
      <c r="O87" s="1686"/>
      <c r="P87" s="1686"/>
      <c r="Q87" s="1686"/>
      <c r="R87" s="1686"/>
      <c r="S87" s="1686"/>
      <c r="T87" s="1686"/>
      <c r="U87" s="1686"/>
      <c r="V87" s="1686"/>
      <c r="W87" s="1686"/>
      <c r="X87" s="1686"/>
      <c r="Y87" s="1686"/>
      <c r="Z87" s="1686"/>
      <c r="AA87" s="1686"/>
      <c r="AB87" s="1686"/>
      <c r="AC87" s="1686"/>
      <c r="AD87" s="1686"/>
      <c r="AE87" s="1686"/>
      <c r="AF87" s="1686"/>
      <c r="AG87" s="1685"/>
      <c r="AH87" s="1685"/>
      <c r="AI87" s="1686"/>
      <c r="AJ87" s="1685"/>
      <c r="AK87" s="1686"/>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row>
    <row r="89" s="61172" customFormat="1" customHeight="1" ht="11.25">
      <c r="A89" s="2327" t="s">
        <v>2064</v>
      </c>
    </row>
    <row r="91" s="50801" customFormat="1" customHeight="1" ht="11.25">
      <c r="A91" s="1678"/>
      <c r="B91" s="1678"/>
      <c r="C91" s="1678"/>
      <c r="D91" s="1672"/>
      <c r="E91" s="1682"/>
      <c r="F91" s="2341"/>
      <c r="G91" s="2342"/>
      <c r="H91" s="2342"/>
      <c r="I91" s="2276"/>
      <c r="J91" s="2276"/>
      <c r="K91" s="2343"/>
      <c r="L91" s="2276"/>
      <c r="M91" s="2342"/>
      <c r="N91" s="3020"/>
      <c r="O91" s="3103">
        <v>1</v>
      </c>
      <c r="P91" s="3022" t="s">
        <v>19</v>
      </c>
      <c r="Q91" s="3025" t="s">
        <v>28</v>
      </c>
      <c r="R91" s="3025" t="s">
        <v>28</v>
      </c>
      <c r="S91" s="3025" t="s">
        <v>28</v>
      </c>
      <c r="T91" s="3025" t="s">
        <v>28</v>
      </c>
      <c r="U91" s="3025" t="s">
        <v>28</v>
      </c>
      <c r="V91" s="3025" t="s">
        <v>28</v>
      </c>
      <c r="W91" s="3025" t="s">
        <v>28</v>
      </c>
      <c r="X91" s="3025" t="s">
        <v>28</v>
      </c>
      <c r="Y91" s="3025"/>
      <c r="Z91" s="1687"/>
      <c r="AA91" s="1688"/>
      <c r="AB91" s="1688"/>
      <c r="AC91" s="1692"/>
      <c r="AD91" s="1692"/>
      <c r="AE91" s="1692"/>
      <c r="AF91" s="2344"/>
      <c r="AG91" s="2271"/>
      <c r="AH91" s="2271"/>
      <c r="AI91" s="2344"/>
      <c r="AJ91" s="2271"/>
      <c r="AK91" s="249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row>
    <row s="50801" customFormat="1" customHeight="1" ht="11.25">
      <c r="A92" s="1678"/>
      <c r="B92" s="1678"/>
      <c r="C92" s="1678"/>
      <c r="D92" s="1672"/>
      <c r="E92" s="1682"/>
      <c r="F92" s="2341"/>
      <c r="G92" s="2342"/>
      <c r="H92" s="2342"/>
      <c r="I92" s="2277"/>
      <c r="J92" s="2277"/>
      <c r="K92" s="2343"/>
      <c r="L92" s="2277"/>
      <c r="M92" s="2342"/>
      <c r="N92" s="3020"/>
      <c r="O92" s="3103"/>
      <c r="P92" s="3023"/>
      <c r="Q92" s="3025"/>
      <c r="R92" s="3025"/>
      <c r="S92" s="3026"/>
      <c r="T92" s="3025"/>
      <c r="U92" s="3025"/>
      <c r="V92" s="3025"/>
      <c r="W92" s="3025"/>
      <c r="X92" s="3025"/>
      <c r="Y92" s="3025"/>
      <c r="Z92" s="2340"/>
      <c r="AA92" s="2306">
        <v>1</v>
      </c>
      <c r="AB92" s="1691"/>
      <c r="AC92" s="1681"/>
      <c r="AD92" s="1691">
        <f>AB92</f>
        <v>0</v>
      </c>
      <c r="AE92" s="1236"/>
      <c r="AF92" s="2343"/>
      <c r="AG92" s="2271"/>
      <c r="AH92" s="2271"/>
      <c r="AI92" s="2343"/>
      <c r="AJ92" s="2271"/>
      <c r="AK92" s="249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row>
    <row s="50801" customFormat="1" customHeight="1" ht="11.25">
      <c r="A93" s="1678"/>
      <c r="B93" s="1678"/>
      <c r="C93" s="1678"/>
      <c r="D93" s="1672"/>
      <c r="E93" s="1682"/>
      <c r="F93" s="2341"/>
      <c r="G93" s="2342"/>
      <c r="H93" s="2342"/>
      <c r="I93" s="2278"/>
      <c r="J93" s="2278"/>
      <c r="K93" s="2343"/>
      <c r="L93" s="2278"/>
      <c r="M93" s="2342"/>
      <c r="N93" s="3020"/>
      <c r="O93" s="3103"/>
      <c r="P93" s="3024"/>
      <c r="Q93" s="3025"/>
      <c r="R93" s="3025"/>
      <c r="S93" s="3026"/>
      <c r="T93" s="3025"/>
      <c r="U93" s="3025"/>
      <c r="V93" s="3025"/>
      <c r="W93" s="3025"/>
      <c r="X93" s="3025"/>
      <c r="Y93" s="3025"/>
      <c r="Z93" s="1687"/>
      <c r="AA93" s="1688"/>
      <c r="AB93" s="1753" t="s">
        <v>2065</v>
      </c>
      <c r="AC93" s="1692"/>
      <c r="AD93" s="1692"/>
      <c r="AE93" s="1692"/>
      <c r="AF93" s="2345"/>
      <c r="AG93" s="2271"/>
      <c r="AH93" s="2271"/>
      <c r="AI93" s="2345"/>
      <c r="AJ93" s="2271"/>
      <c r="AK93" s="249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row>
    <row r="95" s="61172" customFormat="1" customHeight="1" ht="11.25">
      <c r="A95" s="2327" t="s">
        <v>2066</v>
      </c>
    </row>
    <row r="97" s="50801" customFormat="1" customHeight="1" ht="11.25">
      <c r="A97" s="1678"/>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2346"/>
      <c r="AA97" s="2326">
        <v>1</v>
      </c>
      <c r="AB97" s="1691"/>
      <c r="AC97" s="1681"/>
      <c r="AD97" s="1691">
        <f>AB97</f>
        <v>0</v>
      </c>
      <c r="AE97" s="1681"/>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row>
    <row r="99" s="61172" customFormat="1" customHeight="1" ht="11.25">
      <c r="A99" s="2327" t="s">
        <v>2067</v>
      </c>
    </row>
    <row r="101" s="50801" customFormat="1" customHeight="1" ht="11.25">
      <c r="A101" s="1678"/>
      <c r="B101" s="1678"/>
      <c r="C101" s="1678"/>
      <c r="D101" s="1672"/>
      <c r="E101" s="1682"/>
      <c r="F101" s="2341"/>
      <c r="G101" s="2342"/>
      <c r="H101" s="3027" t="s">
        <v>101</v>
      </c>
      <c r="I101" s="3028"/>
      <c r="J101" s="2997"/>
      <c r="K101" s="3029"/>
      <c r="L101" s="2619" t="s">
        <v>19</v>
      </c>
      <c r="M101" s="2620"/>
      <c r="N101" s="2498"/>
      <c r="O101" s="1689" t="s">
        <v>515</v>
      </c>
      <c r="P101" s="1690"/>
      <c r="Q101" s="1690"/>
      <c r="R101" s="1690"/>
      <c r="S101" s="1690"/>
      <c r="T101" s="1690"/>
      <c r="U101" s="1690"/>
      <c r="V101" s="1690"/>
      <c r="W101" s="1690"/>
      <c r="X101" s="1690"/>
      <c r="Y101" s="1690"/>
      <c r="Z101" s="1690"/>
      <c r="AA101" s="1690"/>
      <c r="AB101" s="1690"/>
      <c r="AC101" s="1690"/>
      <c r="AD101" s="1690"/>
      <c r="AE101" s="1690"/>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row>
    <row s="50801" customFormat="1" customHeight="1" ht="11.25">
      <c r="A102" s="1678"/>
      <c r="B102" s="1678"/>
      <c r="C102" s="1678"/>
      <c r="D102" s="1672"/>
      <c r="E102" s="1682"/>
      <c r="F102" s="2341"/>
      <c r="G102" s="2342"/>
      <c r="H102" s="3027"/>
      <c r="I102" s="3028"/>
      <c r="J102" s="2997"/>
      <c r="K102" s="3029"/>
      <c r="L102" s="2619"/>
      <c r="M102" s="2620"/>
      <c r="N102" s="3020"/>
      <c r="O102" s="3021">
        <v>1</v>
      </c>
      <c r="P102" s="3022" t="s">
        <v>19</v>
      </c>
      <c r="Q102" s="3025" t="s">
        <v>28</v>
      </c>
      <c r="R102" s="3025" t="s">
        <v>28</v>
      </c>
      <c r="S102" s="3025" t="s">
        <v>28</v>
      </c>
      <c r="T102" s="3025" t="s">
        <v>28</v>
      </c>
      <c r="U102" s="3025" t="s">
        <v>28</v>
      </c>
      <c r="V102" s="3025" t="s">
        <v>28</v>
      </c>
      <c r="W102" s="3025" t="s">
        <v>28</v>
      </c>
      <c r="X102" s="3025" t="s">
        <v>28</v>
      </c>
      <c r="Y102" s="3025"/>
      <c r="Z102" s="1687"/>
      <c r="AA102" s="1688"/>
      <c r="AB102" s="1688"/>
      <c r="AC102" s="1692"/>
      <c r="AD102" s="1692"/>
      <c r="AE102" s="1693"/>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row>
    <row s="50801" customFormat="1" customHeight="1" ht="11.25">
      <c r="A103" s="1678"/>
      <c r="B103" s="1678"/>
      <c r="C103" s="1678"/>
      <c r="D103" s="1672"/>
      <c r="E103" s="1682"/>
      <c r="F103" s="2341"/>
      <c r="G103" s="2342"/>
      <c r="H103" s="3027"/>
      <c r="I103" s="3028"/>
      <c r="J103" s="2997"/>
      <c r="K103" s="3029"/>
      <c r="L103" s="2619"/>
      <c r="M103" s="2620"/>
      <c r="N103" s="3020"/>
      <c r="O103" s="3021"/>
      <c r="P103" s="3023"/>
      <c r="Q103" s="3025"/>
      <c r="R103" s="3025"/>
      <c r="S103" s="3026"/>
      <c r="T103" s="3025"/>
      <c r="U103" s="3025"/>
      <c r="V103" s="3025"/>
      <c r="W103" s="3025"/>
      <c r="X103" s="3025"/>
      <c r="Y103" s="3025"/>
      <c r="Z103" s="2340"/>
      <c r="AA103" s="2306">
        <v>1</v>
      </c>
      <c r="AB103" s="1691"/>
      <c r="AC103" s="1681"/>
      <c r="AD103" s="1691">
        <f>AB103</f>
        <v>0</v>
      </c>
      <c r="AE103" s="1681"/>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row>
    <row s="50801" customFormat="1" customHeight="1" ht="11.25">
      <c r="A104" s="1678"/>
      <c r="B104" s="1678"/>
      <c r="C104" s="1678"/>
      <c r="D104" s="1672"/>
      <c r="E104" s="1682"/>
      <c r="F104" s="2341"/>
      <c r="G104" s="2342"/>
      <c r="H104" s="3027"/>
      <c r="I104" s="3028"/>
      <c r="J104" s="2997"/>
      <c r="K104" s="3029"/>
      <c r="L104" s="2619"/>
      <c r="M104" s="2620"/>
      <c r="N104" s="3020"/>
      <c r="O104" s="3021"/>
      <c r="P104" s="3024"/>
      <c r="Q104" s="3025"/>
      <c r="R104" s="3025"/>
      <c r="S104" s="3026"/>
      <c r="T104" s="3025"/>
      <c r="U104" s="3025"/>
      <c r="V104" s="3025"/>
      <c r="W104" s="3025"/>
      <c r="X104" s="3025"/>
      <c r="Y104" s="3025"/>
      <c r="Z104" s="1687"/>
      <c r="AA104" s="1688"/>
      <c r="AB104" s="1753" t="s">
        <v>2065</v>
      </c>
      <c r="AC104" s="1692"/>
      <c r="AD104" s="1692"/>
      <c r="AE104" s="1694"/>
      <c r="AF104" s="3018"/>
      <c r="AG104" s="3019"/>
      <c r="AH104" s="3019"/>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row>
    <row s="50801" customFormat="1" customHeight="1" ht="11.25">
      <c r="A105" s="1678"/>
      <c r="B105" s="1678"/>
      <c r="C105" s="1678"/>
      <c r="D105" s="1672"/>
      <c r="E105" s="1682"/>
      <c r="F105" s="2341"/>
      <c r="G105" s="2342"/>
      <c r="H105" s="3027"/>
      <c r="I105" s="3028"/>
      <c r="J105" s="2997"/>
      <c r="K105" s="3029"/>
      <c r="L105" s="2619"/>
      <c r="M105" s="2620"/>
      <c r="N105" s="1687"/>
      <c r="O105" s="1688"/>
      <c r="P105" s="1680" t="s">
        <v>2068</v>
      </c>
      <c r="Q105" s="1688"/>
      <c r="R105" s="1688"/>
      <c r="S105" s="1688"/>
      <c r="T105" s="1688"/>
      <c r="U105" s="1688"/>
      <c r="V105" s="1688"/>
      <c r="W105" s="1688"/>
      <c r="X105" s="1688"/>
      <c r="Y105" s="1688"/>
      <c r="Z105" s="1688"/>
      <c r="AA105" s="1688"/>
      <c r="AB105" s="1688"/>
      <c r="AC105" s="1688"/>
      <c r="AD105" s="1688"/>
      <c r="AE105" s="1695"/>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row>
    <row r="107" s="61172" customFormat="1" customHeight="1" ht="11.25">
      <c r="A107" s="2327" t="s">
        <v>2069</v>
      </c>
    </row>
    <row customHeight="1" ht="17.25"/>
    <row s="60705" customFormat="1" customHeight="1" ht="21">
      <c r="A109" s="1679"/>
      <c r="B109" s="1452"/>
      <c r="D109" s="1436"/>
      <c r="E109" s="1451" t="s">
        <v>28</v>
      </c>
      <c r="F109" s="1633">
        <f>INDEX(IP_MAIN_LIST_NAME_IP,MATCH(A109,IP_MAIN_LIST_IP_ID,0))&amp;" ("&amp;INDEX(IP_MAIN_START_DATE,MATCH(A109,IP_MAIN_LIST_IP_ID,0))&amp;"-"&amp;INDEX(IP_MAIN_END_DATE,MATCH(A109,IP_MAIN_LIST_IP_ID,0))&amp;")"</f>
      </c>
      <c r="G109" s="1715"/>
      <c r="H109" s="1716"/>
      <c r="I109" s="1716"/>
      <c r="J109" s="1716"/>
      <c r="K109" s="1716"/>
      <c r="L109" s="1716"/>
      <c r="M109" s="1716"/>
      <c r="N109" s="1716"/>
      <c r="O109" s="1715"/>
      <c r="P109" s="1715"/>
      <c r="Q109" s="1715"/>
      <c r="R109" s="1715"/>
      <c r="S109" s="1715"/>
      <c r="T109" s="1715"/>
      <c r="U109" s="1717"/>
      <c r="V109" s="1717"/>
      <c r="W109" s="1717"/>
      <c r="X109" s="1717"/>
      <c r="Y109" s="1717"/>
      <c r="Z109" s="1717"/>
      <c r="AA109" s="1717"/>
      <c r="AB109" s="1715"/>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8"/>
      <c r="CM109" s="1718"/>
      <c r="CN109" s="1718"/>
      <c r="CO109" s="1718"/>
      <c r="CP109" s="1718"/>
      <c r="CQ109" s="1718"/>
      <c r="CR109" s="1718"/>
      <c r="CS109" s="1718"/>
      <c r="CT109" s="1718"/>
      <c r="CU109" s="1718"/>
      <c r="CV109" s="1718"/>
      <c r="CW109" s="1718"/>
      <c r="CX109" s="1718"/>
      <c r="CY109" s="1718"/>
      <c r="CZ109" s="1718"/>
      <c r="DA109" s="1718"/>
      <c r="DB109" s="1718"/>
      <c r="DC109" s="1718"/>
      <c r="DD109" s="1718"/>
      <c r="DE109" s="1718"/>
      <c r="DF109" s="1718"/>
      <c r="DG109" s="1718"/>
      <c r="DH109" s="1718"/>
      <c r="DI109" s="1718"/>
      <c r="DJ109" s="1718"/>
      <c r="DK109" s="1718"/>
      <c r="DL109" s="1718"/>
      <c r="DM109" s="1718"/>
      <c r="DN109" s="1718"/>
      <c r="DO109" s="1718"/>
      <c r="DP109" s="1718"/>
      <c r="DQ109" s="1718"/>
      <c r="DR109" s="1718"/>
      <c r="DS109" s="1718"/>
      <c r="DT109" s="1718"/>
      <c r="DU109" s="1718"/>
      <c r="DV109" s="1718"/>
      <c r="DW109" s="1718"/>
      <c r="DX109" s="1718"/>
      <c r="DY109" s="1718"/>
      <c r="DZ109" s="1718"/>
      <c r="EA109" s="1718"/>
      <c r="EB109" s="1718"/>
      <c r="EC109" s="1718"/>
      <c r="ED109" s="1718"/>
      <c r="EE109" s="1718"/>
      <c r="EF109" s="1718"/>
      <c r="EG109" s="1718"/>
      <c r="EH109" s="1718"/>
      <c r="EI109" s="1718"/>
      <c r="EJ109" s="1718"/>
      <c r="EK109" s="1718"/>
      <c r="EL109" s="1718"/>
      <c r="EM109" s="1718"/>
      <c r="EN109" s="1718"/>
      <c r="EO109" s="1718"/>
      <c r="EP109" s="1718"/>
      <c r="EQ109" s="1718"/>
      <c r="ER109" s="1718"/>
      <c r="ES109" s="1718"/>
      <c r="ET109" s="1718"/>
      <c r="EU109" s="1718"/>
      <c r="EV109" s="1718"/>
      <c r="EW109" s="1718"/>
      <c r="EX109" s="1718"/>
      <c r="EY109" s="1718"/>
      <c r="EZ109" s="1718"/>
      <c r="FA109" s="1718"/>
      <c r="FB109" s="1718"/>
      <c r="FC109" s="1718"/>
      <c r="FD109" s="1718"/>
      <c r="FE109" s="1718"/>
      <c r="FF109" s="1718"/>
      <c r="FG109" s="1718"/>
      <c r="FH109" s="1718"/>
      <c r="FI109" s="1718"/>
      <c r="FJ109" s="1718"/>
      <c r="FK109" s="1718"/>
      <c r="FL109" s="1718"/>
      <c r="FM109" s="1718"/>
      <c r="FN109" s="1718"/>
      <c r="FO109" s="1718"/>
      <c r="FP109" s="1718"/>
      <c r="FQ109" s="1718"/>
      <c r="FR109" s="1718"/>
      <c r="FS109" s="1718"/>
      <c r="FT109" s="1718"/>
      <c r="FU109" s="1718"/>
      <c r="FV109" s="1719"/>
      <c r="FW109" s="1713"/>
      <c r="FX109" s="1714"/>
    </row>
    <row s="60705" customFormat="1" customHeight="1" ht="24.75">
      <c r="B110" s="1435"/>
      <c r="C110" s="1436"/>
      <c r="D110" s="1436"/>
      <c r="E110" s="2347"/>
      <c r="F110" s="1720">
        <v>1</v>
      </c>
      <c r="G110" s="1721"/>
      <c r="H110" s="1722"/>
      <c r="I110" s="2494"/>
      <c r="J110" s="1723"/>
      <c r="K110" s="1723"/>
      <c r="L110" s="1723"/>
      <c r="M110" s="1723"/>
      <c r="N110" s="1723"/>
      <c r="O110" s="1724"/>
      <c r="P110" s="1724"/>
      <c r="Q110" s="1724"/>
      <c r="R110" s="1724"/>
      <c r="S110" s="1724"/>
      <c r="T110" s="1724"/>
      <c r="U110" s="1724"/>
      <c r="V110" s="1724"/>
      <c r="W110" s="1724"/>
      <c r="X110" s="1724"/>
      <c r="Y110" s="1724"/>
      <c r="Z110" s="1724"/>
      <c r="AA110" s="1724"/>
      <c r="AB110" s="1724"/>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4"/>
      <c r="BU110" s="1724"/>
      <c r="BV110" s="1724"/>
      <c r="BW110" s="1724"/>
      <c r="BX110" s="1724"/>
      <c r="BY110" s="1724"/>
      <c r="BZ110" s="1724"/>
      <c r="CA110" s="1724"/>
      <c r="CB110" s="1724"/>
      <c r="CC110" s="1724"/>
      <c r="CD110" s="1724"/>
      <c r="CE110" s="1724"/>
      <c r="CF110" s="1724"/>
      <c r="CG110" s="1724"/>
      <c r="CH110" s="1724"/>
      <c r="CI110" s="1724"/>
      <c r="CJ110" s="1724"/>
      <c r="CK110" s="1724"/>
      <c r="CL110" s="1723"/>
      <c r="CM110" s="1723"/>
      <c r="CN110" s="1723"/>
      <c r="CO110" s="1723"/>
      <c r="CP110" s="1723"/>
      <c r="CQ110" s="1723"/>
      <c r="CR110" s="1723"/>
      <c r="CS110" s="1723"/>
      <c r="CT110" s="1723"/>
      <c r="CU110" s="1723"/>
      <c r="CV110" s="1723"/>
      <c r="CW110" s="1723"/>
      <c r="CX110" s="1723"/>
      <c r="CY110" s="1724"/>
      <c r="CZ110" s="1724"/>
      <c r="DA110" s="1724"/>
      <c r="DB110" s="1724"/>
      <c r="DC110" s="1724"/>
      <c r="DD110" s="1724"/>
      <c r="DE110" s="1724"/>
      <c r="DF110" s="1724"/>
      <c r="DG110" s="1724"/>
      <c r="DH110" s="1724"/>
      <c r="DI110" s="1724"/>
      <c r="DJ110" s="1724"/>
      <c r="DK110" s="1723"/>
      <c r="DL110" s="1723"/>
      <c r="DM110" s="1723"/>
      <c r="DN110" s="1723"/>
      <c r="DO110" s="1723"/>
      <c r="DP110" s="1723"/>
      <c r="DQ110" s="1723"/>
      <c r="DR110" s="1723"/>
      <c r="DS110" s="1723"/>
      <c r="DT110" s="1723"/>
      <c r="DU110" s="1723"/>
      <c r="DV110" s="1723"/>
      <c r="DW110" s="1723"/>
      <c r="DX110" s="1723"/>
      <c r="DY110" s="1723"/>
      <c r="DZ110" s="1723"/>
      <c r="EA110" s="1723"/>
      <c r="EB110" s="1723"/>
      <c r="EC110" s="1723"/>
      <c r="ED110" s="1723"/>
      <c r="EE110" s="1723"/>
      <c r="EF110" s="1723"/>
      <c r="EG110" s="1723"/>
      <c r="EH110" s="1723"/>
      <c r="EI110" s="1723"/>
      <c r="EJ110" s="1723"/>
      <c r="EK110" s="1723"/>
      <c r="EL110" s="1723"/>
      <c r="EM110" s="1723"/>
      <c r="EN110" s="1723"/>
      <c r="EO110" s="1723"/>
      <c r="EP110" s="1723"/>
      <c r="EQ110" s="1723"/>
      <c r="ER110" s="1723"/>
      <c r="ES110" s="1723"/>
      <c r="ET110" s="1723"/>
      <c r="EU110" s="1723"/>
      <c r="EV110" s="1723"/>
      <c r="EW110" s="1723"/>
      <c r="EX110" s="1723"/>
      <c r="EY110" s="1723"/>
      <c r="EZ110" s="1723"/>
      <c r="FA110" s="1723"/>
      <c r="FB110" s="1723"/>
      <c r="FC110" s="1723"/>
      <c r="FD110" s="1723"/>
      <c r="FE110" s="1723"/>
      <c r="FF110" s="1723"/>
      <c r="FG110" s="1723"/>
      <c r="FH110" s="1723"/>
      <c r="FI110" s="1723"/>
      <c r="FJ110" s="1723"/>
      <c r="FK110" s="1723"/>
      <c r="FL110" s="1723"/>
      <c r="FM110" s="1723"/>
      <c r="FN110" s="1723"/>
      <c r="FO110" s="1723"/>
      <c r="FP110" s="1723"/>
      <c r="FQ110" s="1723"/>
      <c r="FR110" s="1723"/>
      <c r="FS110" s="1723"/>
      <c r="FT110" s="1723"/>
      <c r="FU110" s="1723"/>
      <c r="FV110" s="1723"/>
      <c r="FW110" s="1723"/>
      <c r="FX110" s="1714"/>
    </row>
    <row s="60705" customFormat="1" customHeight="1" ht="12">
      <c r="A111" s="1436"/>
      <c r="B111" s="1435"/>
      <c r="C111" s="1436"/>
      <c r="D111" s="1436"/>
      <c r="E111" s="1436"/>
      <c r="F111" s="1725"/>
      <c r="G111" s="2312" t="s">
        <v>2070</v>
      </c>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1726"/>
      <c r="BT111" s="1726"/>
      <c r="BU111" s="1726"/>
      <c r="BV111" s="1726"/>
      <c r="BW111" s="1726"/>
      <c r="BX111" s="1726"/>
      <c r="BY111" s="1726"/>
      <c r="BZ111" s="1726"/>
      <c r="CA111" s="1726"/>
      <c r="CB111" s="1726"/>
      <c r="CC111" s="1726"/>
      <c r="CD111" s="1726"/>
      <c r="CE111" s="1726"/>
      <c r="CF111" s="1726"/>
      <c r="CG111" s="1726"/>
      <c r="CH111" s="1726"/>
      <c r="CI111" s="1726"/>
      <c r="CJ111" s="1726"/>
      <c r="CK111" s="1726"/>
      <c r="CL111" s="1726"/>
      <c r="CM111" s="1726"/>
      <c r="CN111" s="1726"/>
      <c r="CO111" s="1726"/>
      <c r="CP111" s="1726"/>
      <c r="CQ111" s="1726"/>
      <c r="CR111" s="1726"/>
      <c r="CS111" s="1726"/>
      <c r="CT111" s="1726"/>
      <c r="CU111" s="1726"/>
      <c r="CV111" s="1726"/>
      <c r="CW111" s="1726"/>
      <c r="CX111" s="1726"/>
      <c r="CY111" s="1726"/>
      <c r="CZ111" s="1726"/>
      <c r="DA111" s="1726"/>
      <c r="DB111" s="1726"/>
      <c r="DC111" s="1726"/>
      <c r="DD111" s="1726"/>
      <c r="DE111" s="1726"/>
      <c r="DF111" s="1726"/>
      <c r="DG111" s="1726"/>
      <c r="DH111" s="1726"/>
      <c r="DI111" s="1726"/>
      <c r="DJ111" s="1726"/>
      <c r="DK111" s="1726"/>
      <c r="DL111" s="1726"/>
      <c r="DM111" s="1726"/>
      <c r="DN111" s="1726"/>
      <c r="DO111" s="1726"/>
      <c r="DP111" s="1726"/>
      <c r="DQ111" s="1726"/>
      <c r="DR111" s="1726"/>
      <c r="DS111" s="1726"/>
      <c r="DT111" s="1726"/>
      <c r="DU111" s="1726"/>
      <c r="DV111" s="1726"/>
      <c r="DW111" s="1726"/>
      <c r="DX111" s="1726"/>
      <c r="DY111" s="1726"/>
      <c r="DZ111" s="1726"/>
      <c r="EA111" s="1726"/>
      <c r="EB111" s="1726"/>
      <c r="EC111" s="1726"/>
      <c r="ED111" s="1726"/>
      <c r="EE111" s="1726"/>
      <c r="EF111" s="1726"/>
      <c r="EG111" s="1726"/>
      <c r="EH111" s="1726"/>
      <c r="EI111" s="1726"/>
      <c r="EJ111" s="1726"/>
      <c r="EK111" s="1726"/>
      <c r="EL111" s="1726"/>
      <c r="EM111" s="1726"/>
      <c r="EN111" s="1726"/>
      <c r="EO111" s="1726"/>
      <c r="EP111" s="1726"/>
      <c r="EQ111" s="1726"/>
      <c r="ER111" s="1726"/>
      <c r="ES111" s="1726"/>
      <c r="ET111" s="1726"/>
      <c r="EU111" s="1726"/>
      <c r="EV111" s="1726"/>
      <c r="EW111" s="1726"/>
      <c r="EX111" s="1726"/>
      <c r="EY111" s="1726"/>
      <c r="EZ111" s="1726"/>
      <c r="FA111" s="1726"/>
      <c r="FB111" s="1726"/>
      <c r="FC111" s="1726"/>
      <c r="FD111" s="1726"/>
      <c r="FE111" s="1726"/>
      <c r="FF111" s="1726"/>
      <c r="FG111" s="1726"/>
      <c r="FH111" s="1726"/>
      <c r="FI111" s="1726"/>
      <c r="FJ111" s="1726"/>
      <c r="FK111" s="1726"/>
      <c r="FL111" s="1726"/>
      <c r="FM111" s="1726"/>
      <c r="FN111" s="1726"/>
      <c r="FO111" s="1726"/>
      <c r="FP111" s="1726"/>
      <c r="FQ111" s="1726"/>
      <c r="FR111" s="1726"/>
      <c r="FS111" s="1726"/>
      <c r="FT111" s="1726"/>
      <c r="FU111" s="1726"/>
      <c r="FV111" s="1726"/>
      <c r="FW111" s="1727"/>
      <c r="FX111" s="1728"/>
      <c r="FY111" s="1453"/>
      <c r="FZ111" s="1453"/>
      <c r="GA111" s="1453"/>
      <c r="GB111" s="1453"/>
    </row>
    <row r="113" s="61172" customFormat="1" customHeight="1" ht="11.25">
      <c r="A113" s="2327" t="s">
        <v>2071</v>
      </c>
    </row>
    <row r="115" s="50942" customFormat="1" customHeight="1" ht="15">
      <c r="A115" s="1135"/>
      <c r="B115" s="1136"/>
      <c r="C115" s="1136"/>
      <c r="D115" s="3090" t="s">
        <v>101</v>
      </c>
      <c r="E115" s="2889" t="s">
        <v>175</v>
      </c>
      <c r="F115" s="2890"/>
      <c r="G115" s="2891"/>
      <c r="H115" s="2895" t="str">
        <f>IF(A115="","",INDEX(DIFFERENTIATION_UNMERGE_VD,MATCH(A115,DIFFERENTIATION_ID_DIFF,0)))</f>
        <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t="s">
        <v>28</v>
      </c>
      <c r="AF115" s="1142"/>
      <c r="AG115" s="1143" t="s">
        <v>747</v>
      </c>
      <c r="AH115" s="1144">
        <v>3</v>
      </c>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row>
    <row s="50942" customFormat="1" customHeight="1" ht="15">
      <c r="A116" s="1135"/>
      <c r="B116" s="1136"/>
      <c r="C116" s="1136"/>
      <c r="D116" s="3091"/>
      <c r="E116" s="2889" t="s">
        <v>702</v>
      </c>
      <c r="F116" s="2890"/>
      <c r="G116" s="2891"/>
      <c r="H116" s="2895" t="str">
        <f>IF(A115="","",INDEX(DIFFERENTIATION_UNMERGE_AREA,MATCH(A115,DIFFERENTIATION_ID_DIFF,0)))</f>
        <v/>
      </c>
      <c r="I116" s="2895"/>
      <c r="J116" s="2895"/>
      <c r="K116" s="2895"/>
      <c r="L116" s="2895"/>
      <c r="M116" s="2895"/>
      <c r="N116" s="2895"/>
      <c r="O116" s="2895"/>
      <c r="P116" s="2895"/>
      <c r="Q116" s="2895"/>
      <c r="R116" s="2895"/>
      <c r="S116" s="1231"/>
      <c r="T116" s="1228"/>
      <c r="U116" s="1137"/>
      <c r="V116" s="1137"/>
      <c r="W116" s="1138"/>
      <c r="X116" s="1138"/>
      <c r="Y116" s="1138"/>
      <c r="Z116" s="1138"/>
      <c r="AA116" s="1139"/>
      <c r="AB116" s="1140"/>
      <c r="AC116" s="2887"/>
      <c r="AD116" s="1141"/>
      <c r="AE116" s="1142"/>
      <c r="AF116" s="1142"/>
      <c r="AG116" s="1143"/>
      <c r="AH116" s="1144"/>
      <c r="AI116" s="1137"/>
      <c r="AJ116" s="1137"/>
      <c r="AK116" s="1137"/>
      <c r="AL116" s="1137"/>
      <c r="AM116" s="1137"/>
      <c r="AN116" s="1137"/>
      <c r="AO116" s="1137"/>
      <c r="AP116" s="1137"/>
      <c r="AQ116" s="1137"/>
      <c r="AR116" s="1137"/>
      <c r="AS116" s="1137"/>
      <c r="AT116" s="1137"/>
      <c r="AU116" s="1137"/>
      <c r="AV116" s="1137"/>
      <c r="AW116" s="1137"/>
      <c r="AX116" s="1137"/>
      <c r="AY116" s="1137"/>
      <c r="AZ116" s="1137"/>
      <c r="BA116" s="1137"/>
      <c r="BB116" s="1137"/>
      <c r="BC116" s="1137"/>
      <c r="BD116" s="1137"/>
      <c r="BE116" s="1137"/>
      <c r="BF116" s="1137"/>
      <c r="BG116" s="1137"/>
      <c r="BH116" s="1137"/>
      <c r="BI116" s="1137"/>
      <c r="BJ116" s="1137"/>
      <c r="BK116" s="1137"/>
      <c r="BL116" s="1137"/>
      <c r="BM116" s="1137"/>
      <c r="BN116" s="1137"/>
      <c r="BO116" s="1137"/>
      <c r="BP116" s="1137"/>
      <c r="BQ116" s="1137"/>
      <c r="BR116" s="1137"/>
      <c r="BS116" s="1137"/>
      <c r="BT116" s="1137"/>
      <c r="BU116" s="1137"/>
      <c r="BV116" s="1138"/>
      <c r="BW116" s="1138"/>
      <c r="BX116" s="1138"/>
      <c r="BY116" s="1138"/>
      <c r="BZ116" s="1138"/>
      <c r="CA116" s="1138"/>
      <c r="CB116" s="1138"/>
      <c r="CC116" s="1138"/>
      <c r="CD116" s="1138"/>
      <c r="CE116" s="1138"/>
    </row>
    <row s="50942" customFormat="1" customHeight="1" ht="15">
      <c r="A117" s="1135"/>
      <c r="B117" s="1136"/>
      <c r="C117" s="1136"/>
      <c r="D117" s="3091"/>
      <c r="E117" s="2889" t="s">
        <v>703</v>
      </c>
      <c r="F117" s="2890"/>
      <c r="G117" s="2891"/>
      <c r="H117" s="2895" t="str">
        <f>IF(A115="","",INDEX(DIFFERENTIATION_UNMERGE_SYSTEM,MATCH(A115,DIFFERENTIATION_ID_DIFF,0)))</f>
        <v/>
      </c>
      <c r="I117" s="2895"/>
      <c r="J117" s="2895"/>
      <c r="K117" s="2895"/>
      <c r="L117" s="2895"/>
      <c r="M117" s="2895"/>
      <c r="N117" s="2895"/>
      <c r="O117" s="2895"/>
      <c r="P117" s="2895"/>
      <c r="Q117" s="2895"/>
      <c r="R117" s="2895"/>
      <c r="S117" s="1231"/>
      <c r="T117" s="1228"/>
      <c r="U117" s="1137"/>
      <c r="V117" s="1137"/>
      <c r="W117" s="1138"/>
      <c r="X117" s="1138"/>
      <c r="Y117" s="1138"/>
      <c r="Z117" s="1138"/>
      <c r="AA117" s="1139"/>
      <c r="AB117" s="1140"/>
      <c r="AC117" s="2887"/>
      <c r="AD117" s="1141"/>
      <c r="AE117" s="1142"/>
      <c r="AF117" s="1142"/>
      <c r="AG117" s="1143"/>
      <c r="AH117" s="1144"/>
      <c r="AI117" s="1137"/>
      <c r="AJ117" s="1137"/>
      <c r="AK117" s="1137"/>
      <c r="AL117" s="1137"/>
      <c r="AM117" s="1137"/>
      <c r="AN117" s="1137"/>
      <c r="AO117" s="1137"/>
      <c r="AP117" s="1137"/>
      <c r="AQ117" s="1137"/>
      <c r="AR117" s="1137"/>
      <c r="AS117" s="1137"/>
      <c r="AT117" s="1137"/>
      <c r="AU117" s="1137"/>
      <c r="AV117" s="1137"/>
      <c r="AW117" s="1137"/>
      <c r="AX117" s="1137"/>
      <c r="AY117" s="1137"/>
      <c r="AZ117" s="1137"/>
      <c r="BA117" s="1137"/>
      <c r="BB117" s="1137"/>
      <c r="BC117" s="1137"/>
      <c r="BD117" s="1137"/>
      <c r="BE117" s="1137"/>
      <c r="BF117" s="1137"/>
      <c r="BG117" s="1137"/>
      <c r="BH117" s="1137"/>
      <c r="BI117" s="1137"/>
      <c r="BJ117" s="1137"/>
      <c r="BK117" s="1137"/>
      <c r="BL117" s="1137"/>
      <c r="BM117" s="1137"/>
      <c r="BN117" s="1137"/>
      <c r="BO117" s="1137"/>
      <c r="BP117" s="1137"/>
      <c r="BQ117" s="1137"/>
      <c r="BR117" s="1137"/>
      <c r="BS117" s="1137"/>
      <c r="BT117" s="1137"/>
      <c r="BU117" s="1137"/>
      <c r="BV117" s="1138"/>
      <c r="BW117" s="1138"/>
      <c r="BX117" s="1138"/>
      <c r="BY117" s="1138"/>
      <c r="BZ117" s="1138"/>
      <c r="CA117" s="1138"/>
      <c r="CB117" s="1138"/>
      <c r="CC117" s="1138"/>
      <c r="CD117" s="1138"/>
      <c r="CE117" s="1138"/>
    </row>
    <row s="50942" customFormat="1" customHeight="1" ht="24.75">
      <c r="A118" s="2318"/>
      <c r="B118" s="1672"/>
      <c r="C118" s="924"/>
      <c r="D118" s="3091"/>
      <c r="E118" s="2888" t="s">
        <v>748</v>
      </c>
      <c r="F118" s="2888"/>
      <c r="G118" s="2888"/>
      <c r="H118" s="2888"/>
      <c r="I118" s="2888"/>
      <c r="J118" s="2888"/>
      <c r="K118" s="2888"/>
      <c r="L118" s="2888"/>
      <c r="M118" s="2888"/>
      <c r="N118" s="2888"/>
      <c r="O118" s="2888"/>
      <c r="P118" s="2888"/>
      <c r="Q118" s="1070">
        <f>SUMIF(T119:T120,"i",Q119:Q120)</f>
        <v>0</v>
      </c>
      <c r="R118" s="1529"/>
      <c r="S118" s="2310" t="s">
        <v>749</v>
      </c>
      <c r="T118" s="1229" t="s">
        <v>750</v>
      </c>
      <c r="U118" s="2886">
        <v>1</v>
      </c>
      <c r="V118" s="2886" t="s">
        <v>713</v>
      </c>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row>
    <row s="50942" customFormat="1" customHeight="1" ht="11.25" hidden="1">
      <c r="A119" s="2305"/>
      <c r="B119" s="2148"/>
      <c r="C119" s="2148"/>
      <c r="D119" s="3091"/>
      <c r="E119" s="1147"/>
      <c r="F119" s="1147">
        <v>0</v>
      </c>
      <c r="G119" s="1147"/>
      <c r="H119" s="1147"/>
      <c r="I119" s="1147"/>
      <c r="J119" s="1147"/>
      <c r="K119" s="1147"/>
      <c r="L119" s="1147"/>
      <c r="M119" s="1147"/>
      <c r="N119" s="1147"/>
      <c r="O119" s="1147"/>
      <c r="P119" s="1147"/>
      <c r="Q119" s="1147"/>
      <c r="R119" s="1147"/>
      <c r="S119" s="1148"/>
      <c r="T119" s="1230"/>
      <c r="U119" s="2886"/>
      <c r="V119" s="2886"/>
      <c r="W119" s="2148"/>
      <c r="X119" s="2148"/>
      <c r="Y119" s="2148"/>
      <c r="Z119" s="2148"/>
      <c r="AA119" s="2148"/>
      <c r="AB119" s="1672"/>
      <c r="AC119" s="2887"/>
      <c r="AD119" s="1141"/>
      <c r="AE119" s="1672"/>
      <c r="AF119" s="1672"/>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row>
    <row s="50942" customFormat="1" customHeight="1" ht="11.25">
      <c r="A120" s="2318"/>
      <c r="B120" s="1672"/>
      <c r="C120" s="924"/>
      <c r="D120" s="3091"/>
      <c r="E120" s="1161" t="s">
        <v>28</v>
      </c>
      <c r="F120" s="1680" t="s">
        <v>28</v>
      </c>
      <c r="G120" s="1680" t="s">
        <v>2072</v>
      </c>
      <c r="H120" s="1163" t="s">
        <v>28</v>
      </c>
      <c r="I120" s="1163"/>
      <c r="J120" s="1163"/>
      <c r="K120" s="1163"/>
      <c r="L120" s="1163"/>
      <c r="M120" s="1163"/>
      <c r="N120" s="1163"/>
      <c r="O120" s="1163"/>
      <c r="P120" s="1163"/>
      <c r="Q120" s="1163"/>
      <c r="R120" s="1164"/>
      <c r="S120" s="1165"/>
      <c r="T120" s="1230"/>
      <c r="U120" s="2886"/>
      <c r="V120" s="2886"/>
      <c r="W120" s="1672"/>
      <c r="X120" s="1672"/>
      <c r="Y120" s="1672"/>
      <c r="Z120" s="1672"/>
      <c r="AA120" s="2148"/>
      <c r="AB120" s="1672"/>
      <c r="AC120" s="2887"/>
      <c r="AD120" s="1141"/>
      <c r="AE120" s="1672"/>
      <c r="AF120" s="1672"/>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1672"/>
      <c r="BW120" s="1672"/>
      <c r="BX120" s="1672"/>
      <c r="BY120" s="1672"/>
      <c r="BZ120" s="1672"/>
      <c r="CA120" s="1672"/>
      <c r="CB120" s="1672"/>
      <c r="CC120" s="1672"/>
      <c r="CD120" s="1672"/>
      <c r="CE120" s="1672"/>
    </row>
    <row s="50942" customFormat="1" customHeight="1" ht="24.75">
      <c r="A121" s="2318"/>
      <c r="B121" s="1672"/>
      <c r="C121" s="924"/>
      <c r="D121" s="3091"/>
      <c r="E121" s="2888" t="s">
        <v>751</v>
      </c>
      <c r="F121" s="2888"/>
      <c r="G121" s="2888"/>
      <c r="H121" s="2888"/>
      <c r="I121" s="2888"/>
      <c r="J121" s="2888"/>
      <c r="K121" s="2888"/>
      <c r="L121" s="2888"/>
      <c r="M121" s="2888"/>
      <c r="N121" s="2888"/>
      <c r="O121" s="2888"/>
      <c r="P121" s="2888"/>
      <c r="Q121" s="1070">
        <f>SUMIF(T122:T123,"i",Q122:Q123)</f>
        <v>0</v>
      </c>
      <c r="R121" s="1529"/>
      <c r="S121" s="2310" t="s">
        <v>752</v>
      </c>
      <c r="T121" s="1229" t="s">
        <v>750</v>
      </c>
      <c r="U121" s="2886">
        <v>1</v>
      </c>
      <c r="V121" s="2886" t="s">
        <v>713</v>
      </c>
      <c r="W121" s="1672"/>
      <c r="X121" s="1672"/>
      <c r="Y121" s="1672"/>
      <c r="Z121" s="1672"/>
      <c r="AA121" s="2148"/>
      <c r="AB121" s="1672"/>
      <c r="AC121" s="2308"/>
      <c r="AD121" s="1141"/>
      <c r="AE121" s="1672"/>
      <c r="AF121" s="1672"/>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1672"/>
      <c r="BW121" s="1672"/>
      <c r="BX121" s="1672"/>
      <c r="BY121" s="1672"/>
      <c r="BZ121" s="1672"/>
      <c r="CA121" s="1672"/>
      <c r="CB121" s="1672"/>
      <c r="CC121" s="1672"/>
      <c r="CD121" s="1672"/>
      <c r="CE121" s="1672"/>
    </row>
    <row s="50942" customFormat="1" customHeight="1" ht="11.25" hidden="1">
      <c r="A122" s="2305"/>
      <c r="B122" s="2148"/>
      <c r="C122" s="2148"/>
      <c r="D122" s="3091"/>
      <c r="E122" s="1147"/>
      <c r="F122" s="1147">
        <v>0</v>
      </c>
      <c r="G122" s="1147"/>
      <c r="H122" s="1147"/>
      <c r="I122" s="1147"/>
      <c r="J122" s="1147"/>
      <c r="K122" s="1147"/>
      <c r="L122" s="1147"/>
      <c r="M122" s="1147"/>
      <c r="N122" s="1147"/>
      <c r="O122" s="1147"/>
      <c r="P122" s="1147"/>
      <c r="Q122" s="1147"/>
      <c r="R122" s="1147"/>
      <c r="S122" s="1148"/>
      <c r="T122" s="1230"/>
      <c r="U122" s="2886"/>
      <c r="V122" s="2886"/>
      <c r="W122" s="2148"/>
      <c r="X122" s="2148"/>
      <c r="Y122" s="2148"/>
      <c r="Z122" s="2148"/>
      <c r="AA122" s="2148"/>
      <c r="AB122" s="1672"/>
      <c r="AC122" s="2308"/>
      <c r="AD122" s="1141"/>
      <c r="AE122" s="1672"/>
      <c r="AF122" s="1672"/>
      <c r="AG122" s="2148"/>
      <c r="AH122" s="2148"/>
      <c r="AI122" s="2148"/>
      <c r="AJ122" s="2148"/>
      <c r="AK122" s="2148"/>
      <c r="AL122" s="2148"/>
      <c r="AM122" s="2148"/>
      <c r="AN122" s="2148"/>
      <c r="AO122" s="2148"/>
      <c r="AP122" s="2148"/>
      <c r="AQ122" s="2148"/>
      <c r="AR122" s="2148"/>
      <c r="AS122" s="2148"/>
      <c r="AT122" s="2148"/>
      <c r="AU122" s="2148"/>
      <c r="AV122" s="2148"/>
      <c r="AW122" s="2148"/>
      <c r="AX122" s="2148"/>
      <c r="AY122" s="2148"/>
      <c r="AZ122" s="2148"/>
      <c r="BA122" s="2148"/>
      <c r="BB122" s="2148"/>
      <c r="BC122" s="2148"/>
      <c r="BD122" s="2148"/>
      <c r="BE122" s="2148"/>
      <c r="BF122" s="2148"/>
      <c r="BG122" s="2148"/>
      <c r="BH122" s="2148"/>
      <c r="BI122" s="2148"/>
      <c r="BJ122" s="2148"/>
      <c r="BK122" s="2148"/>
      <c r="BL122" s="2148"/>
      <c r="BM122" s="2148"/>
      <c r="BN122" s="2148"/>
      <c r="BO122" s="2148"/>
      <c r="BP122" s="2148"/>
      <c r="BQ122" s="2148"/>
      <c r="BR122" s="2148"/>
      <c r="BS122" s="2148"/>
      <c r="BT122" s="2148"/>
      <c r="BU122" s="2148"/>
      <c r="BV122" s="2148"/>
      <c r="BW122" s="2148"/>
      <c r="BX122" s="2148"/>
      <c r="BY122" s="2148"/>
      <c r="BZ122" s="2148"/>
      <c r="CA122" s="2148"/>
      <c r="CB122" s="2148"/>
      <c r="CC122" s="2148"/>
      <c r="CD122" s="2148"/>
      <c r="CE122" s="2148"/>
    </row>
    <row s="50942" customFormat="1" customHeight="1" ht="11.25">
      <c r="A123" s="2318"/>
      <c r="B123" s="1672"/>
      <c r="C123" s="924"/>
      <c r="D123" s="3092"/>
      <c r="E123" s="1161" t="s">
        <v>28</v>
      </c>
      <c r="F123" s="1680" t="s">
        <v>28</v>
      </c>
      <c r="G123" s="1680" t="s">
        <v>2072</v>
      </c>
      <c r="H123" s="1163" t="s">
        <v>28</v>
      </c>
      <c r="I123" s="1163"/>
      <c r="J123" s="1163"/>
      <c r="K123" s="1163"/>
      <c r="L123" s="1163"/>
      <c r="M123" s="1163"/>
      <c r="N123" s="1163"/>
      <c r="O123" s="1163"/>
      <c r="P123" s="1163"/>
      <c r="Q123" s="1163"/>
      <c r="R123" s="1164"/>
      <c r="S123" s="1165"/>
      <c r="T123" s="1230"/>
      <c r="U123" s="2886"/>
      <c r="V123" s="2886"/>
      <c r="W123" s="1672"/>
      <c r="X123" s="1672"/>
      <c r="Y123" s="1672"/>
      <c r="Z123" s="1672"/>
      <c r="AA123" s="2148"/>
      <c r="AB123" s="1672"/>
      <c r="AC123" s="2308"/>
      <c r="AD123" s="1141"/>
      <c r="AE123" s="1672"/>
      <c r="AF123" s="1672"/>
      <c r="AG123" s="2148"/>
      <c r="AH123" s="2148"/>
      <c r="AI123" s="2148"/>
      <c r="AJ123" s="2148"/>
      <c r="AK123" s="2148"/>
      <c r="AL123" s="2148"/>
      <c r="AM123" s="2148"/>
      <c r="AN123" s="2148"/>
      <c r="AO123" s="2148"/>
      <c r="AP123" s="2148"/>
      <c r="AQ123" s="2148"/>
      <c r="AR123" s="2148"/>
      <c r="AS123" s="2148"/>
      <c r="AT123" s="2148"/>
      <c r="AU123" s="2148"/>
      <c r="AV123" s="2148"/>
      <c r="AW123" s="2148"/>
      <c r="AX123" s="2148"/>
      <c r="AY123" s="2148"/>
      <c r="AZ123" s="2148"/>
      <c r="BA123" s="2148"/>
      <c r="BB123" s="2148"/>
      <c r="BC123" s="2148"/>
      <c r="BD123" s="2148"/>
      <c r="BE123" s="2148"/>
      <c r="BF123" s="2148"/>
      <c r="BG123" s="2148"/>
      <c r="BH123" s="2148"/>
      <c r="BI123" s="2148"/>
      <c r="BJ123" s="2148"/>
      <c r="BK123" s="2148"/>
      <c r="BL123" s="2148"/>
      <c r="BM123" s="2148"/>
      <c r="BN123" s="2148"/>
      <c r="BO123" s="2148"/>
      <c r="BP123" s="2148"/>
      <c r="BQ123" s="2148"/>
      <c r="BR123" s="2148"/>
      <c r="BS123" s="2148"/>
      <c r="BT123" s="2148"/>
      <c r="BU123" s="2148"/>
      <c r="BV123" s="1672"/>
      <c r="BW123" s="1672"/>
      <c r="BX123" s="1672"/>
      <c r="BY123" s="1672"/>
      <c r="BZ123" s="1672"/>
      <c r="CA123" s="1672"/>
      <c r="CB123" s="1672"/>
      <c r="CC123" s="1672"/>
      <c r="CD123" s="1672"/>
      <c r="CE123" s="1672"/>
    </row>
    <row r="125" s="61172" customFormat="1" customHeight="1" ht="11.25">
      <c r="A125" s="2327" t="s">
        <v>2073</v>
      </c>
    </row>
    <row r="127" s="50942" customFormat="1" customHeight="1" ht="15">
      <c r="A127" s="1135"/>
      <c r="B127" s="1136"/>
      <c r="C127" s="1136"/>
      <c r="D127" s="3090" t="s">
        <v>101</v>
      </c>
      <c r="E127" s="2889" t="s">
        <v>175</v>
      </c>
      <c r="F127" s="2890"/>
      <c r="G127" s="2891"/>
      <c r="H127" s="2895" t="str">
        <f>IF(A127="","",INDEX(DIFFERENTIATION_UNMERGE_VD,MATCH(A127,DIFFERENTIATION_ID_DIFF,0)))</f>
        <v/>
      </c>
      <c r="I127" s="2895"/>
      <c r="J127" s="2895"/>
      <c r="K127" s="2895"/>
      <c r="L127" s="2895"/>
      <c r="M127" s="2895"/>
      <c r="N127" s="2895"/>
      <c r="O127" s="2895"/>
      <c r="P127" s="2895"/>
      <c r="Q127" s="2895"/>
      <c r="R127" s="2895"/>
      <c r="S127" s="1231"/>
      <c r="T127" s="1228"/>
      <c r="U127" s="1137"/>
      <c r="V127" s="1137"/>
      <c r="W127" s="1138"/>
      <c r="X127" s="1138"/>
      <c r="Y127" s="1138"/>
      <c r="Z127" s="1138"/>
      <c r="AA127" s="1139"/>
      <c r="AB127" s="1140"/>
      <c r="AC127" s="2887"/>
      <c r="AD127" s="1141"/>
      <c r="AE127" s="1142" t="s">
        <v>28</v>
      </c>
      <c r="AF127" s="1142"/>
      <c r="AG127" s="1143" t="s">
        <v>747</v>
      </c>
      <c r="AH127" s="1144">
        <v>3</v>
      </c>
      <c r="AI127" s="1137"/>
      <c r="AJ127" s="1137"/>
      <c r="AK127" s="1137"/>
      <c r="AL127" s="1137"/>
      <c r="AM127" s="1137"/>
      <c r="AN127" s="1137"/>
      <c r="AO127" s="1137"/>
      <c r="AP127" s="1137"/>
      <c r="AQ127" s="1137"/>
      <c r="AR127" s="1137"/>
      <c r="AS127" s="1137"/>
      <c r="AT127" s="1137"/>
      <c r="AU127" s="1137"/>
      <c r="AV127" s="1137"/>
      <c r="AW127" s="1137"/>
      <c r="AX127" s="1137"/>
      <c r="AY127" s="1137"/>
      <c r="AZ127" s="1137"/>
      <c r="BA127" s="1137"/>
      <c r="BB127" s="1137"/>
      <c r="BC127" s="1137"/>
      <c r="BD127" s="1137"/>
      <c r="BE127" s="1137"/>
      <c r="BF127" s="1137"/>
      <c r="BG127" s="1137"/>
      <c r="BH127" s="1137"/>
      <c r="BI127" s="1137"/>
      <c r="BJ127" s="1137"/>
      <c r="BK127" s="1137"/>
      <c r="BL127" s="1137"/>
      <c r="BM127" s="1137"/>
      <c r="BN127" s="1137"/>
      <c r="BO127" s="1137"/>
      <c r="BP127" s="1137"/>
      <c r="BQ127" s="1137"/>
      <c r="BR127" s="1137"/>
      <c r="BS127" s="1137"/>
      <c r="BT127" s="1137"/>
      <c r="BU127" s="1137"/>
      <c r="BV127" s="1138"/>
      <c r="BW127" s="1138"/>
      <c r="BX127" s="1138"/>
      <c r="BY127" s="1138"/>
      <c r="BZ127" s="1138"/>
      <c r="CA127" s="1138"/>
      <c r="CB127" s="1138"/>
      <c r="CC127" s="1138"/>
      <c r="CD127" s="1138"/>
      <c r="CE127" s="1138"/>
    </row>
    <row s="50942" customFormat="1" customHeight="1" ht="15">
      <c r="A128" s="1135"/>
      <c r="B128" s="1136"/>
      <c r="C128" s="1136"/>
      <c r="D128" s="3091"/>
      <c r="E128" s="2889" t="s">
        <v>702</v>
      </c>
      <c r="F128" s="2890"/>
      <c r="G128" s="2891"/>
      <c r="H128" s="2895" t="str">
        <f>IF(A127="","",INDEX(DIFFERENTIATION_UNMERGE_AREA,MATCH(A127,DIFFERENTIATION_ID_DIFF,0)))</f>
        <v/>
      </c>
      <c r="I128" s="2895"/>
      <c r="J128" s="2895"/>
      <c r="K128" s="2895"/>
      <c r="L128" s="2895"/>
      <c r="M128" s="2895"/>
      <c r="N128" s="2895"/>
      <c r="O128" s="2895"/>
      <c r="P128" s="2895"/>
      <c r="Q128" s="2895"/>
      <c r="R128" s="2895"/>
      <c r="S128" s="1231"/>
      <c r="T128" s="1228"/>
      <c r="U128" s="1137"/>
      <c r="V128" s="1137"/>
      <c r="W128" s="1138"/>
      <c r="X128" s="1138"/>
      <c r="Y128" s="1138"/>
      <c r="Z128" s="1138"/>
      <c r="AA128" s="1139"/>
      <c r="AB128" s="1140"/>
      <c r="AC128" s="2887"/>
      <c r="AD128" s="1141"/>
      <c r="AE128" s="1142"/>
      <c r="AF128" s="1142"/>
      <c r="AG128" s="1143"/>
      <c r="AH128" s="1144"/>
      <c r="AI128" s="1137"/>
      <c r="AJ128" s="1137"/>
      <c r="AK128" s="1137"/>
      <c r="AL128" s="1137"/>
      <c r="AM128" s="1137"/>
      <c r="AN128" s="1137"/>
      <c r="AO128" s="1137"/>
      <c r="AP128" s="1137"/>
      <c r="AQ128" s="1137"/>
      <c r="AR128" s="1137"/>
      <c r="AS128" s="1137"/>
      <c r="AT128" s="1137"/>
      <c r="AU128" s="1137"/>
      <c r="AV128" s="1137"/>
      <c r="AW128" s="1137"/>
      <c r="AX128" s="1137"/>
      <c r="AY128" s="1137"/>
      <c r="AZ128" s="1137"/>
      <c r="BA128" s="1137"/>
      <c r="BB128" s="1137"/>
      <c r="BC128" s="1137"/>
      <c r="BD128" s="1137"/>
      <c r="BE128" s="1137"/>
      <c r="BF128" s="1137"/>
      <c r="BG128" s="1137"/>
      <c r="BH128" s="1137"/>
      <c r="BI128" s="1137"/>
      <c r="BJ128" s="1137"/>
      <c r="BK128" s="1137"/>
      <c r="BL128" s="1137"/>
      <c r="BM128" s="1137"/>
      <c r="BN128" s="1137"/>
      <c r="BO128" s="1137"/>
      <c r="BP128" s="1137"/>
      <c r="BQ128" s="1137"/>
      <c r="BR128" s="1137"/>
      <c r="BS128" s="1137"/>
      <c r="BT128" s="1137"/>
      <c r="BU128" s="1137"/>
      <c r="BV128" s="1138"/>
      <c r="BW128" s="1138"/>
      <c r="BX128" s="1138"/>
      <c r="BY128" s="1138"/>
      <c r="BZ128" s="1138"/>
      <c r="CA128" s="1138"/>
      <c r="CB128" s="1138"/>
      <c r="CC128" s="1138"/>
      <c r="CD128" s="1138"/>
      <c r="CE128" s="1138"/>
    </row>
    <row s="50942" customFormat="1" customHeight="1" ht="15">
      <c r="A129" s="1135"/>
      <c r="B129" s="1136"/>
      <c r="C129" s="1136"/>
      <c r="D129" s="3091"/>
      <c r="E129" s="2889" t="s">
        <v>703</v>
      </c>
      <c r="F129" s="2890"/>
      <c r="G129" s="2891"/>
      <c r="H129" s="2895" t="str">
        <f>IF(A127="","",INDEX(DIFFERENTIATION_UNMERGE_SYSTEM,MATCH(A127,DIFFERENTIATION_ID_DIFF,0)))</f>
        <v/>
      </c>
      <c r="I129" s="2895"/>
      <c r="J129" s="2895"/>
      <c r="K129" s="2895"/>
      <c r="L129" s="2895"/>
      <c r="M129" s="2895"/>
      <c r="N129" s="2895"/>
      <c r="O129" s="2895"/>
      <c r="P129" s="2895"/>
      <c r="Q129" s="2895"/>
      <c r="R129" s="2895"/>
      <c r="S129" s="1231"/>
      <c r="T129" s="1228"/>
      <c r="U129" s="1137"/>
      <c r="V129" s="1137"/>
      <c r="W129" s="1138"/>
      <c r="X129" s="1138"/>
      <c r="Y129" s="1138"/>
      <c r="Z129" s="1138"/>
      <c r="AA129" s="1139"/>
      <c r="AB129" s="1140"/>
      <c r="AC129" s="2887"/>
      <c r="AD129" s="1141"/>
      <c r="AE129" s="1142"/>
      <c r="AF129" s="1142"/>
      <c r="AG129" s="1143"/>
      <c r="AH129" s="1144"/>
      <c r="AI129" s="1137"/>
      <c r="AJ129" s="1137"/>
      <c r="AK129" s="1137"/>
      <c r="AL129" s="1137"/>
      <c r="AM129" s="1137"/>
      <c r="AN129" s="1137"/>
      <c r="AO129" s="1137"/>
      <c r="AP129" s="1137"/>
      <c r="AQ129" s="1137"/>
      <c r="AR129" s="1137"/>
      <c r="AS129" s="1137"/>
      <c r="AT129" s="1137"/>
      <c r="AU129" s="1137"/>
      <c r="AV129" s="1137"/>
      <c r="AW129" s="1137"/>
      <c r="AX129" s="1137"/>
      <c r="AY129" s="1137"/>
      <c r="AZ129" s="1137"/>
      <c r="BA129" s="1137"/>
      <c r="BB129" s="1137"/>
      <c r="BC129" s="1137"/>
      <c r="BD129" s="1137"/>
      <c r="BE129" s="1137"/>
      <c r="BF129" s="1137"/>
      <c r="BG129" s="1137"/>
      <c r="BH129" s="1137"/>
      <c r="BI129" s="1137"/>
      <c r="BJ129" s="1137"/>
      <c r="BK129" s="1137"/>
      <c r="BL129" s="1137"/>
      <c r="BM129" s="1137"/>
      <c r="BN129" s="1137"/>
      <c r="BO129" s="1137"/>
      <c r="BP129" s="1137"/>
      <c r="BQ129" s="1137"/>
      <c r="BR129" s="1137"/>
      <c r="BS129" s="1137"/>
      <c r="BT129" s="1137"/>
      <c r="BU129" s="1137"/>
      <c r="BV129" s="1138"/>
      <c r="BW129" s="1138"/>
      <c r="BX129" s="1138"/>
      <c r="BY129" s="1138"/>
      <c r="BZ129" s="1138"/>
      <c r="CA129" s="1138"/>
      <c r="CB129" s="1138"/>
      <c r="CC129" s="1138"/>
      <c r="CD129" s="1138"/>
      <c r="CE129" s="1138"/>
    </row>
    <row s="50942" customFormat="1" customHeight="1" ht="24.75">
      <c r="A130" s="2318"/>
      <c r="B130" s="1672"/>
      <c r="C130" s="924"/>
      <c r="D130" s="3091"/>
      <c r="E130" s="2888" t="s">
        <v>748</v>
      </c>
      <c r="F130" s="2888"/>
      <c r="G130" s="2888"/>
      <c r="H130" s="2888"/>
      <c r="I130" s="2888"/>
      <c r="J130" s="2888"/>
      <c r="K130" s="2888"/>
      <c r="L130" s="2888"/>
      <c r="M130" s="2888"/>
      <c r="N130" s="2888"/>
      <c r="O130" s="2888"/>
      <c r="P130" s="2888"/>
      <c r="Q130" s="1070">
        <f>SUMIF(T131:T132,"i",Q131:Q132)</f>
        <v>0</v>
      </c>
      <c r="R130" s="1529"/>
      <c r="S130" s="2310" t="s">
        <v>749</v>
      </c>
      <c r="T130" s="1229" t="s">
        <v>750</v>
      </c>
      <c r="U130" s="2886">
        <v>1</v>
      </c>
      <c r="V130" s="2886" t="s">
        <v>713</v>
      </c>
      <c r="W130" s="1672"/>
      <c r="X130" s="1672"/>
      <c r="Y130" s="1672"/>
      <c r="Z130" s="1672"/>
      <c r="AA130" s="2148"/>
      <c r="AB130" s="1672"/>
      <c r="AC130" s="2887"/>
      <c r="AD130" s="1141"/>
      <c r="AE130" s="1672"/>
      <c r="AF130" s="1672"/>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1672"/>
      <c r="BW130" s="1672"/>
      <c r="BX130" s="1672"/>
      <c r="BY130" s="1672"/>
      <c r="BZ130" s="1672"/>
      <c r="CA130" s="1672"/>
      <c r="CB130" s="1672"/>
      <c r="CC130" s="1672"/>
      <c r="CD130" s="1672"/>
      <c r="CE130" s="1672"/>
    </row>
    <row s="50942" customFormat="1" customHeight="1" ht="11.25" hidden="1">
      <c r="A131" s="2305"/>
      <c r="B131" s="2148"/>
      <c r="C131" s="2148"/>
      <c r="D131" s="3091"/>
      <c r="E131" s="1147"/>
      <c r="F131" s="1147">
        <v>0</v>
      </c>
      <c r="G131" s="1147"/>
      <c r="H131" s="1147"/>
      <c r="I131" s="1147"/>
      <c r="J131" s="1147"/>
      <c r="K131" s="1147"/>
      <c r="L131" s="1147"/>
      <c r="M131" s="1147"/>
      <c r="N131" s="1147"/>
      <c r="O131" s="1147"/>
      <c r="P131" s="1147"/>
      <c r="Q131" s="1147"/>
      <c r="R131" s="1147"/>
      <c r="S131" s="1148"/>
      <c r="T131" s="1230"/>
      <c r="U131" s="2886"/>
      <c r="V131" s="2886"/>
      <c r="W131" s="2148"/>
      <c r="X131" s="2148"/>
      <c r="Y131" s="2148"/>
      <c r="Z131" s="2148"/>
      <c r="AA131" s="2148"/>
      <c r="AB131" s="1672"/>
      <c r="AC131" s="2887"/>
      <c r="AD131" s="1141"/>
      <c r="AE131" s="1672"/>
      <c r="AF131" s="1672"/>
      <c r="AG131" s="2148"/>
      <c r="AH131" s="2148"/>
      <c r="AI131" s="2148"/>
      <c r="AJ131" s="2148"/>
      <c r="AK131" s="2148"/>
      <c r="AL131" s="2148"/>
      <c r="AM131" s="2148"/>
      <c r="AN131" s="2148"/>
      <c r="AO131" s="2148"/>
      <c r="AP131" s="2148"/>
      <c r="AQ131" s="2148"/>
      <c r="AR131" s="2148"/>
      <c r="AS131" s="2148"/>
      <c r="AT131" s="2148"/>
      <c r="AU131" s="2148"/>
      <c r="AV131" s="2148"/>
      <c r="AW131" s="2148"/>
      <c r="AX131" s="2148"/>
      <c r="AY131" s="2148"/>
      <c r="AZ131" s="2148"/>
      <c r="BA131" s="2148"/>
      <c r="BB131" s="2148"/>
      <c r="BC131" s="2148"/>
      <c r="BD131" s="2148"/>
      <c r="BE131" s="2148"/>
      <c r="BF131" s="2148"/>
      <c r="BG131" s="2148"/>
      <c r="BH131" s="2148"/>
      <c r="BI131" s="2148"/>
      <c r="BJ131" s="2148"/>
      <c r="BK131" s="2148"/>
      <c r="BL131" s="2148"/>
      <c r="BM131" s="2148"/>
      <c r="BN131" s="2148"/>
      <c r="BO131" s="2148"/>
      <c r="BP131" s="2148"/>
      <c r="BQ131" s="2148"/>
      <c r="BR131" s="2148"/>
      <c r="BS131" s="2148"/>
      <c r="BT131" s="2148"/>
      <c r="BU131" s="2148"/>
      <c r="BV131" s="2148"/>
      <c r="BW131" s="2148"/>
      <c r="BX131" s="2148"/>
      <c r="BY131" s="2148"/>
      <c r="BZ131" s="2148"/>
      <c r="CA131" s="2148"/>
      <c r="CB131" s="2148"/>
      <c r="CC131" s="2148"/>
      <c r="CD131" s="2148"/>
      <c r="CE131" s="2148"/>
    </row>
    <row s="50942" customFormat="1" customHeight="1" ht="11.25">
      <c r="A132" s="2318"/>
      <c r="B132" s="1672"/>
      <c r="C132" s="924"/>
      <c r="D132" s="3091"/>
      <c r="E132" s="1161" t="s">
        <v>28</v>
      </c>
      <c r="F132" s="1680" t="s">
        <v>28</v>
      </c>
      <c r="G132" s="1680" t="s">
        <v>2072</v>
      </c>
      <c r="H132" s="1163" t="s">
        <v>28</v>
      </c>
      <c r="I132" s="1163"/>
      <c r="J132" s="1163"/>
      <c r="K132" s="1163"/>
      <c r="L132" s="1163"/>
      <c r="M132" s="1163"/>
      <c r="N132" s="1163"/>
      <c r="O132" s="1163"/>
      <c r="P132" s="1163"/>
      <c r="Q132" s="1163"/>
      <c r="R132" s="1164"/>
      <c r="S132" s="1165"/>
      <c r="T132" s="1230"/>
      <c r="U132" s="2886"/>
      <c r="V132" s="2886"/>
      <c r="W132" s="1672"/>
      <c r="X132" s="1672"/>
      <c r="Y132" s="1672"/>
      <c r="Z132" s="1672"/>
      <c r="AA132" s="2148"/>
      <c r="AB132" s="1672"/>
      <c r="AC132" s="2887"/>
      <c r="AD132" s="1141"/>
      <c r="AE132" s="1672"/>
      <c r="AF132" s="1672"/>
      <c r="AG132" s="2148"/>
      <c r="AH132" s="2148"/>
      <c r="AI132" s="2148"/>
      <c r="AJ132" s="2148"/>
      <c r="AK132" s="2148"/>
      <c r="AL132" s="2148"/>
      <c r="AM132" s="2148"/>
      <c r="AN132" s="2148"/>
      <c r="AO132" s="2148"/>
      <c r="AP132" s="2148"/>
      <c r="AQ132" s="2148"/>
      <c r="AR132" s="2148"/>
      <c r="AS132" s="2148"/>
      <c r="AT132" s="2148"/>
      <c r="AU132" s="2148"/>
      <c r="AV132" s="2148"/>
      <c r="AW132" s="2148"/>
      <c r="AX132" s="2148"/>
      <c r="AY132" s="2148"/>
      <c r="AZ132" s="2148"/>
      <c r="BA132" s="2148"/>
      <c r="BB132" s="2148"/>
      <c r="BC132" s="2148"/>
      <c r="BD132" s="2148"/>
      <c r="BE132" s="2148"/>
      <c r="BF132" s="2148"/>
      <c r="BG132" s="2148"/>
      <c r="BH132" s="2148"/>
      <c r="BI132" s="2148"/>
      <c r="BJ132" s="2148"/>
      <c r="BK132" s="2148"/>
      <c r="BL132" s="2148"/>
      <c r="BM132" s="2148"/>
      <c r="BN132" s="2148"/>
      <c r="BO132" s="2148"/>
      <c r="BP132" s="2148"/>
      <c r="BQ132" s="2148"/>
      <c r="BR132" s="2148"/>
      <c r="BS132" s="2148"/>
      <c r="BT132" s="2148"/>
      <c r="BU132" s="2148"/>
      <c r="BV132" s="1672"/>
      <c r="BW132" s="1672"/>
      <c r="BX132" s="1672"/>
      <c r="BY132" s="1672"/>
      <c r="BZ132" s="1672"/>
      <c r="CA132" s="1672"/>
      <c r="CB132" s="1672"/>
      <c r="CC132" s="1672"/>
      <c r="CD132" s="1672"/>
      <c r="CE132" s="1672"/>
    </row>
    <row s="51357" customFormat="1" customHeight="1" ht="5.25" hidden="1">
      <c r="A133" s="2305"/>
      <c r="B133" s="2148"/>
      <c r="C133" s="2148"/>
      <c r="D133" s="3091"/>
      <c r="E133" s="1551"/>
      <c r="F133" s="1551"/>
      <c r="G133" s="1551"/>
      <c r="H133" s="1551"/>
      <c r="I133" s="1551"/>
      <c r="J133" s="1551"/>
      <c r="K133" s="1551"/>
      <c r="L133" s="1551"/>
      <c r="M133" s="1551"/>
      <c r="N133" s="1551"/>
      <c r="O133" s="1551"/>
      <c r="P133" s="1551"/>
      <c r="Q133" s="1552"/>
      <c r="R133" s="1553"/>
      <c r="S133" s="1554"/>
      <c r="T133" s="1229" t="s">
        <v>750</v>
      </c>
      <c r="U133" s="2886">
        <v>1</v>
      </c>
      <c r="V133" s="2886" t="s">
        <v>713</v>
      </c>
      <c r="W133" s="2148"/>
      <c r="X133" s="2148"/>
      <c r="Y133" s="2148"/>
      <c r="Z133" s="2148"/>
      <c r="AA133" s="2148"/>
      <c r="AB133" s="2148"/>
      <c r="AC133" s="1549"/>
      <c r="AD133" s="1550"/>
      <c r="AE133" s="2148"/>
      <c r="AF133" s="2148"/>
      <c r="AG133" s="2148"/>
      <c r="AH133" s="2148"/>
      <c r="AI133" s="2148"/>
      <c r="AJ133" s="2148"/>
      <c r="AK133" s="2148"/>
      <c r="AL133" s="2148"/>
      <c r="AM133" s="2148"/>
      <c r="AN133" s="2148"/>
      <c r="AO133" s="2148"/>
      <c r="AP133" s="2148"/>
      <c r="AQ133" s="2148"/>
      <c r="AR133" s="2148"/>
      <c r="AS133" s="2148"/>
      <c r="AT133" s="2148"/>
      <c r="AU133" s="2148"/>
      <c r="AV133" s="2148"/>
      <c r="AW133" s="2148"/>
      <c r="AX133" s="2148"/>
      <c r="AY133" s="2148"/>
      <c r="AZ133" s="2148"/>
      <c r="BA133" s="2148"/>
      <c r="BB133" s="2148"/>
      <c r="BC133" s="2148"/>
      <c r="BD133" s="2148"/>
      <c r="BE133" s="2148"/>
      <c r="BF133" s="2148"/>
      <c r="BG133" s="2148"/>
      <c r="BH133" s="2148"/>
      <c r="BI133" s="2148"/>
      <c r="BJ133" s="2148"/>
      <c r="BK133" s="2148"/>
      <c r="BL133" s="2148"/>
      <c r="BM133" s="2148"/>
      <c r="BN133" s="2148"/>
      <c r="BO133" s="2148"/>
      <c r="BP133" s="2148"/>
      <c r="BQ133" s="2148"/>
      <c r="BR133" s="2148"/>
      <c r="BS133" s="2148"/>
      <c r="BT133" s="2148"/>
      <c r="BU133" s="2148"/>
      <c r="BV133" s="2148"/>
      <c r="BW133" s="2148"/>
      <c r="BX133" s="2148"/>
      <c r="BY133" s="2148"/>
      <c r="BZ133" s="2148"/>
      <c r="CA133" s="2148"/>
      <c r="CB133" s="2148"/>
      <c r="CC133" s="2148"/>
      <c r="CD133" s="2148"/>
      <c r="CE133" s="2148"/>
    </row>
    <row s="51357" customFormat="1" customHeight="1" ht="5.25" hidden="1">
      <c r="A134" s="2305"/>
      <c r="B134" s="2148"/>
      <c r="C134" s="2148"/>
      <c r="D134" s="3091"/>
      <c r="E134" s="1147"/>
      <c r="F134" s="1147"/>
      <c r="G134" s="1147"/>
      <c r="H134" s="1147"/>
      <c r="I134" s="1147"/>
      <c r="J134" s="1147"/>
      <c r="K134" s="1147"/>
      <c r="L134" s="1147"/>
      <c r="M134" s="1147"/>
      <c r="N134" s="1147"/>
      <c r="O134" s="1147"/>
      <c r="P134" s="1147"/>
      <c r="Q134" s="1147"/>
      <c r="R134" s="1147"/>
      <c r="S134" s="1148"/>
      <c r="T134" s="1230"/>
      <c r="U134" s="2886"/>
      <c r="V134" s="2886"/>
      <c r="W134" s="2148"/>
      <c r="X134" s="2148"/>
      <c r="Y134" s="2148"/>
      <c r="Z134" s="2148"/>
      <c r="AA134" s="2148"/>
      <c r="AB134" s="2148"/>
      <c r="AC134" s="1549"/>
      <c r="AD134" s="1550"/>
      <c r="AE134" s="2148"/>
      <c r="AF134" s="2148"/>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2148"/>
      <c r="BW134" s="2148"/>
      <c r="BX134" s="2148"/>
      <c r="BY134" s="2148"/>
      <c r="BZ134" s="2148"/>
      <c r="CA134" s="2148"/>
      <c r="CB134" s="2148"/>
      <c r="CC134" s="2148"/>
      <c r="CD134" s="2148"/>
      <c r="CE134" s="2148"/>
    </row>
    <row s="51357" customFormat="1" customHeight="1" ht="5.25" hidden="1">
      <c r="A135" s="2305"/>
      <c r="B135" s="2148"/>
      <c r="C135" s="2148"/>
      <c r="D135" s="3092"/>
      <c r="E135" s="1555"/>
      <c r="F135" s="1556"/>
      <c r="G135" s="1556"/>
      <c r="H135" s="1557"/>
      <c r="I135" s="1557"/>
      <c r="J135" s="1557"/>
      <c r="K135" s="1557"/>
      <c r="L135" s="1557"/>
      <c r="M135" s="1557"/>
      <c r="N135" s="1557"/>
      <c r="O135" s="1557"/>
      <c r="P135" s="1557"/>
      <c r="Q135" s="1557"/>
      <c r="R135" s="1458"/>
      <c r="S135" s="1558"/>
      <c r="T135" s="1230"/>
      <c r="U135" s="2886"/>
      <c r="V135" s="2886"/>
      <c r="W135" s="2148"/>
      <c r="X135" s="2148"/>
      <c r="Y135" s="2148"/>
      <c r="Z135" s="2148"/>
      <c r="AA135" s="2148"/>
      <c r="AB135" s="2148"/>
      <c r="AC135" s="1549"/>
      <c r="AD135" s="1550"/>
      <c r="AE135" s="2148"/>
      <c r="AF135" s="2148"/>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row>
    <row customHeight="1" ht="17.25">
      <c r="D136" s="2348"/>
    </row>
    <row s="61172" customFormat="1" customHeight="1" ht="11.25">
      <c r="A137" s="2327" t="s">
        <v>2074</v>
      </c>
    </row>
    <row r="139" s="50942" customFormat="1" customHeight="1" ht="45">
      <c r="A139" s="2318"/>
      <c r="B139" s="1672"/>
      <c r="C139" s="924"/>
      <c r="D139" s="601"/>
      <c r="E139" s="3084"/>
      <c r="F139" s="2620" t="s">
        <v>101</v>
      </c>
      <c r="G139" s="3087" t="s">
        <v>28</v>
      </c>
      <c r="H139" s="801"/>
      <c r="I139" s="1149" t="s">
        <v>101</v>
      </c>
      <c r="J139" s="2319" t="s">
        <v>2075</v>
      </c>
      <c r="K139" s="1150" t="s">
        <v>684</v>
      </c>
      <c r="L139" s="2736" t="s">
        <v>684</v>
      </c>
      <c r="M139" s="3089"/>
      <c r="N139" s="1150" t="s">
        <v>684</v>
      </c>
      <c r="O139" s="1150" t="s">
        <v>684</v>
      </c>
      <c r="P139" s="1150" t="s">
        <v>684</v>
      </c>
      <c r="Q139" s="1151">
        <f>SUM(Q140:Q142)</f>
        <v>0</v>
      </c>
      <c r="R139" s="1151">
        <f>IF(R136=0,0,(Q136/R136)*100)</f>
        <v>0</v>
      </c>
      <c r="S139" s="2691"/>
      <c r="T139" s="1229" t="s">
        <v>750</v>
      </c>
      <c r="U139" s="601"/>
      <c r="V139" s="601"/>
      <c r="AC139" s="601"/>
    </row>
    <row s="50942" customFormat="1" customHeight="1" ht="11.25">
      <c r="A140" s="2318"/>
      <c r="B140" s="1672"/>
      <c r="C140" s="924"/>
      <c r="D140" s="601"/>
      <c r="E140" s="3085"/>
      <c r="F140" s="2620"/>
      <c r="G140" s="3087"/>
      <c r="H140" s="2639"/>
      <c r="I140" s="3027" t="s">
        <v>1159</v>
      </c>
      <c r="J140" s="3081"/>
      <c r="K140" s="3082"/>
      <c r="L140" s="1152"/>
      <c r="M140" s="1153" t="s">
        <v>101</v>
      </c>
      <c r="N140" s="2307"/>
      <c r="O140" s="1154"/>
      <c r="P140" s="1155"/>
      <c r="Q140" s="1154"/>
      <c r="R140" s="1156">
        <v>0</v>
      </c>
      <c r="S140" s="2691"/>
      <c r="T140" s="1229"/>
      <c r="U140" s="601"/>
      <c r="V140" s="601"/>
      <c r="AC140" s="601"/>
    </row>
    <row s="50942" customFormat="1" customHeight="1" ht="11.25">
      <c r="A141" s="2318"/>
      <c r="B141" s="1672"/>
      <c r="C141" s="924"/>
      <c r="D141" s="601"/>
      <c r="E141" s="3085"/>
      <c r="F141" s="2620"/>
      <c r="G141" s="3087"/>
      <c r="H141" s="2639"/>
      <c r="I141" s="3027"/>
      <c r="J141" s="3081"/>
      <c r="K141" s="3083"/>
      <c r="L141" s="1157"/>
      <c r="M141" s="1158"/>
      <c r="N141" s="1159" t="s">
        <v>2076</v>
      </c>
      <c r="O141" s="1159"/>
      <c r="P141" s="1159"/>
      <c r="Q141" s="1159"/>
      <c r="R141" s="1160"/>
      <c r="S141" s="2691"/>
      <c r="T141" s="1229"/>
      <c r="U141" s="601"/>
      <c r="V141" s="601"/>
      <c r="AC141" s="601"/>
    </row>
    <row s="50942" customFormat="1" customHeight="1" ht="11.25">
      <c r="A142" s="2318"/>
      <c r="B142" s="1672"/>
      <c r="C142" s="924"/>
      <c r="D142" s="601"/>
      <c r="E142" s="3086"/>
      <c r="F142" s="2620"/>
      <c r="G142" s="3088"/>
      <c r="H142" s="1157" t="s">
        <v>28</v>
      </c>
      <c r="I142" s="1158"/>
      <c r="J142" s="1159" t="s">
        <v>2077</v>
      </c>
      <c r="K142" s="1159"/>
      <c r="L142" s="1159"/>
      <c r="M142" s="1159"/>
      <c r="N142" s="1159"/>
      <c r="O142" s="1159"/>
      <c r="P142" s="1159"/>
      <c r="Q142" s="1159"/>
      <c r="R142" s="1160"/>
      <c r="S142" s="2691"/>
      <c r="T142" s="1229"/>
      <c r="U142" s="601"/>
      <c r="V142" s="601"/>
      <c r="AC142" s="601"/>
    </row>
    <row r="147" s="50942" customFormat="1" customHeight="1" ht="11.25">
      <c r="A147" s="2318"/>
      <c r="B147" s="1672"/>
      <c r="C147" s="924"/>
      <c r="D147" s="601"/>
      <c r="E147" s="2342"/>
      <c r="F147" s="2342"/>
      <c r="G147" s="2342"/>
      <c r="H147" s="2639"/>
      <c r="I147" s="3027" t="s">
        <v>1159</v>
      </c>
      <c r="J147" s="3081"/>
      <c r="K147" s="3082"/>
      <c r="L147" s="1152"/>
      <c r="M147" s="1153" t="s">
        <v>101</v>
      </c>
      <c r="N147" s="2307"/>
      <c r="O147" s="1154"/>
      <c r="P147" s="1155"/>
      <c r="Q147" s="1154"/>
      <c r="R147" s="1156">
        <v>0</v>
      </c>
      <c r="S147" s="601"/>
      <c r="T147" s="1229"/>
      <c r="U147" s="601"/>
      <c r="V147" s="601"/>
      <c r="AC147" s="601"/>
    </row>
    <row s="50942" customFormat="1" customHeight="1" ht="11.25">
      <c r="A148" s="2318"/>
      <c r="B148" s="1672"/>
      <c r="C148" s="924"/>
      <c r="D148" s="601"/>
      <c r="E148" s="2342"/>
      <c r="F148" s="2342"/>
      <c r="G148" s="2342"/>
      <c r="H148" s="2639"/>
      <c r="I148" s="3027"/>
      <c r="J148" s="3081"/>
      <c r="K148" s="3083"/>
      <c r="L148" s="1157"/>
      <c r="M148" s="1158"/>
      <c r="N148" s="1159" t="s">
        <v>2076</v>
      </c>
      <c r="O148" s="1159"/>
      <c r="P148" s="1159"/>
      <c r="Q148" s="1159"/>
      <c r="R148" s="1160"/>
      <c r="S148" s="601"/>
      <c r="T148" s="1229"/>
      <c r="U148" s="601"/>
      <c r="V148" s="601"/>
      <c r="AC148" s="601"/>
    </row>
    <row r="150" s="50942" customFormat="1" customHeight="1" ht="11.25">
      <c r="A150" s="2318"/>
      <c r="B150" s="1672"/>
      <c r="C150" s="924"/>
      <c r="D150" s="601"/>
      <c r="E150" s="2349"/>
      <c r="F150" s="2347"/>
      <c r="G150" s="2347"/>
      <c r="H150" s="2350"/>
      <c r="I150" s="2342"/>
      <c r="J150" s="2343"/>
      <c r="K150" s="2343"/>
      <c r="L150" s="1152"/>
      <c r="M150" s="1153" t="s">
        <v>101</v>
      </c>
      <c r="N150" s="2307"/>
      <c r="O150" s="1154"/>
      <c r="P150" s="1155"/>
      <c r="Q150" s="1154"/>
      <c r="R150" s="1156">
        <v>0</v>
      </c>
      <c r="S150" s="601"/>
      <c r="T150" s="1229"/>
      <c r="U150" s="601"/>
      <c r="V150" s="601"/>
      <c r="AC150" s="601"/>
    </row>
    <row r="152" s="61172" customFormat="1" customHeight="1" ht="17.25">
      <c r="A152" s="2327" t="s">
        <v>2078</v>
      </c>
    </row>
    <row customHeight="1" ht="17.25">
      <c r="G153" s="2351"/>
      <c r="H153" s="2351"/>
      <c r="I153" s="2351"/>
      <c r="M153" s="2347"/>
    </row>
    <row s="51018" customFormat="1" customHeight="1" ht="17.25">
      <c r="A154" s="2352"/>
      <c r="C154" s="2354"/>
      <c r="D154" s="3041"/>
      <c r="E154" s="2655"/>
      <c r="F154" s="2657"/>
      <c r="G154" s="3043"/>
      <c r="H154" s="3041"/>
      <c r="I154" s="3041">
        <v>1</v>
      </c>
      <c r="J154" s="3013"/>
      <c r="K154" s="2697" t="s">
        <v>63</v>
      </c>
      <c r="L154" s="2620"/>
      <c r="M154" s="2620" t="s">
        <v>101</v>
      </c>
      <c r="N154" s="3016" t="str">
        <f>IF(Z154="","",INDEX(TERRITORY_MR_LIST,MATCH(Z154,TERRITORY_LIST_ID,0)))</f>
        <v/>
      </c>
      <c r="O154" s="2697" t="s">
        <v>63</v>
      </c>
      <c r="P154" s="2620"/>
      <c r="Q154" s="2620" t="s">
        <v>101</v>
      </c>
      <c r="R154" s="3014" t="s">
        <v>28</v>
      </c>
      <c r="S154" s="2619" t="s">
        <v>63</v>
      </c>
      <c r="T154" s="2323"/>
      <c r="U154" s="2323" t="s">
        <v>101</v>
      </c>
      <c r="V154" s="2355" t="s">
        <v>28</v>
      </c>
      <c r="W154" s="2313"/>
      <c r="Y154" s="1779"/>
      <c r="Z154" s="1779"/>
      <c r="AA154" s="1779"/>
      <c r="AB154" s="1779"/>
      <c r="AC154" s="1779"/>
      <c r="AD154" s="1779"/>
      <c r="AE154" s="1779"/>
      <c r="AF154" s="1779"/>
      <c r="AG154" s="1779"/>
      <c r="AH154" s="1779"/>
      <c r="AI154" s="1779"/>
      <c r="AJ154" s="1779"/>
      <c r="AK154" s="1779"/>
      <c r="AL154" s="2356"/>
      <c r="AM154" s="2356"/>
      <c r="AN154" s="1779"/>
      <c r="AO154" s="1779"/>
      <c r="AP154" s="1779"/>
      <c r="AQ154" s="1779"/>
    </row>
    <row s="51018" customFormat="1" customHeight="1" ht="17.25">
      <c r="A155" s="2352"/>
      <c r="C155" s="2357"/>
      <c r="D155" s="3041"/>
      <c r="E155" s="2655"/>
      <c r="F155" s="2658"/>
      <c r="G155" s="3043"/>
      <c r="H155" s="3041"/>
      <c r="I155" s="3041"/>
      <c r="J155" s="3013"/>
      <c r="K155" s="2698"/>
      <c r="L155" s="2620"/>
      <c r="M155" s="2620"/>
      <c r="N155" s="3016"/>
      <c r="O155" s="2698"/>
      <c r="P155" s="2620"/>
      <c r="Q155" s="2620"/>
      <c r="R155" s="3014"/>
      <c r="S155" s="2619"/>
      <c r="T155" s="829"/>
      <c r="U155" s="830"/>
      <c r="V155" s="830" t="s">
        <v>553</v>
      </c>
      <c r="W155" s="831"/>
      <c r="Y155" s="1771"/>
      <c r="Z155" s="1771"/>
      <c r="AA155" s="1771"/>
      <c r="AB155" s="1771"/>
      <c r="AC155" s="1771"/>
      <c r="AD155" s="1771"/>
      <c r="AE155" s="1771"/>
      <c r="AF155" s="1771"/>
      <c r="AG155" s="1771"/>
      <c r="AH155" s="1771"/>
      <c r="AI155" s="1771"/>
      <c r="AJ155" s="1771"/>
      <c r="AK155" s="1771"/>
    </row>
    <row s="51018" customFormat="1" customHeight="1" ht="17.25">
      <c r="A156" s="2352"/>
      <c r="C156" s="2357"/>
      <c r="D156" s="3015"/>
      <c r="E156" s="3042"/>
      <c r="F156" s="2658"/>
      <c r="G156" s="3044"/>
      <c r="H156" s="3015"/>
      <c r="I156" s="3015"/>
      <c r="J156" s="3045"/>
      <c r="K156" s="2698"/>
      <c r="L156" s="3015"/>
      <c r="M156" s="3015"/>
      <c r="N156" s="3017"/>
      <c r="O156" s="2624"/>
      <c r="P156" s="829"/>
      <c r="Q156" s="830"/>
      <c r="R156" s="830" t="s">
        <v>290</v>
      </c>
      <c r="S156" s="2358"/>
      <c r="T156" s="2358"/>
      <c r="U156" s="2358"/>
      <c r="V156" s="2358"/>
      <c r="W156" s="831"/>
      <c r="Y156" s="1771"/>
      <c r="Z156" s="1771"/>
      <c r="AA156" s="1771"/>
      <c r="AB156" s="1771"/>
      <c r="AC156" s="1771"/>
      <c r="AD156" s="1771"/>
      <c r="AE156" s="1771"/>
      <c r="AF156" s="1771"/>
      <c r="AG156" s="1771"/>
      <c r="AH156" s="1771"/>
      <c r="AI156" s="1771"/>
      <c r="AJ156" s="1771"/>
      <c r="AK156" s="1771"/>
    </row>
    <row s="51018" customFormat="1" customHeight="1" ht="17.25">
      <c r="A157" s="2352"/>
      <c r="C157" s="2357"/>
      <c r="D157" s="3015"/>
      <c r="E157" s="3042"/>
      <c r="F157" s="2658"/>
      <c r="G157" s="3044"/>
      <c r="H157" s="3015"/>
      <c r="I157" s="3015"/>
      <c r="J157" s="3045"/>
      <c r="K157" s="2624"/>
      <c r="L157" s="829"/>
      <c r="M157" s="830"/>
      <c r="N157" s="830" t="s">
        <v>365</v>
      </c>
      <c r="O157" s="830"/>
      <c r="P157" s="830"/>
      <c r="Q157" s="830"/>
      <c r="R157" s="830"/>
      <c r="S157" s="2358"/>
      <c r="T157" s="2358"/>
      <c r="U157" s="2358"/>
      <c r="V157" s="2358"/>
      <c r="W157" s="831"/>
      <c r="Y157" s="1771"/>
      <c r="Z157" s="1771"/>
      <c r="AA157" s="1771"/>
      <c r="AB157" s="1771"/>
      <c r="AC157" s="1771"/>
      <c r="AD157" s="1771"/>
      <c r="AE157" s="1771"/>
      <c r="AF157" s="1771"/>
      <c r="AG157" s="1771"/>
      <c r="AH157" s="1771"/>
      <c r="AI157" s="1771"/>
      <c r="AJ157" s="1771"/>
      <c r="AK157" s="1771"/>
    </row>
    <row s="51018" customFormat="1" customHeight="1" ht="17.25">
      <c r="A158" s="2352"/>
      <c r="C158" s="2357"/>
      <c r="D158" s="3015"/>
      <c r="E158" s="3042"/>
      <c r="F158" s="2659"/>
      <c r="G158" s="3044"/>
      <c r="H158" s="829"/>
      <c r="I158" s="830"/>
      <c r="J158" s="830" t="s">
        <v>366</v>
      </c>
      <c r="K158" s="830"/>
      <c r="L158" s="830"/>
      <c r="M158" s="830"/>
      <c r="N158" s="830"/>
      <c r="O158" s="830"/>
      <c r="P158" s="830"/>
      <c r="Q158" s="830"/>
      <c r="R158" s="830"/>
      <c r="S158" s="2358"/>
      <c r="T158" s="2358"/>
      <c r="U158" s="2358"/>
      <c r="V158" s="2358"/>
      <c r="W158" s="831"/>
      <c r="Y158" s="1771"/>
      <c r="Z158" s="1771"/>
      <c r="AA158" s="1771"/>
      <c r="AB158" s="1771"/>
      <c r="AC158" s="1771"/>
      <c r="AD158" s="1771"/>
      <c r="AE158" s="1771"/>
      <c r="AF158" s="1771"/>
      <c r="AG158" s="1771"/>
      <c r="AH158" s="1771"/>
      <c r="AI158" s="1771"/>
      <c r="AJ158" s="1771"/>
      <c r="AK158" s="1771"/>
    </row>
    <row customHeight="1" ht="17.25">
      <c r="G159" s="2351"/>
      <c r="H159" s="2351"/>
      <c r="I159" s="2351"/>
      <c r="M159" s="2347"/>
    </row>
    <row s="51018" customFormat="1" customHeight="1" ht="17.25">
      <c r="A160" s="2352"/>
      <c r="C160" s="2354"/>
      <c r="D160" s="2342"/>
      <c r="E160" s="2359"/>
      <c r="F160" s="2296"/>
      <c r="G160" s="2360"/>
      <c r="H160" s="3041"/>
      <c r="I160" s="3041">
        <v>1</v>
      </c>
      <c r="J160" s="3013"/>
      <c r="K160" s="2697" t="s">
        <v>63</v>
      </c>
      <c r="L160" s="2620"/>
      <c r="M160" s="2620" t="s">
        <v>101</v>
      </c>
      <c r="N160" s="3016" t="str">
        <f>IF(Z160="","",INDEX(TERRITORY_MR_LIST,MATCH(Z160,TERRITORY_LIST_ID,0)))</f>
        <v/>
      </c>
      <c r="O160" s="2697" t="s">
        <v>63</v>
      </c>
      <c r="P160" s="2620"/>
      <c r="Q160" s="2620" t="s">
        <v>101</v>
      </c>
      <c r="R160" s="3014" t="s">
        <v>28</v>
      </c>
      <c r="S160" s="2619" t="s">
        <v>63</v>
      </c>
      <c r="T160" s="2323"/>
      <c r="U160" s="2323" t="s">
        <v>101</v>
      </c>
      <c r="V160" s="2355" t="s">
        <v>28</v>
      </c>
      <c r="W160" s="2313"/>
      <c r="Y160" s="1779"/>
      <c r="Z160" s="1779"/>
      <c r="AA160" s="1779"/>
      <c r="AB160" s="1779"/>
      <c r="AC160" s="1779"/>
      <c r="AD160" s="1779"/>
      <c r="AE160" s="1779"/>
      <c r="AF160" s="1779"/>
      <c r="AG160" s="1779"/>
      <c r="AH160" s="1779"/>
      <c r="AI160" s="1779"/>
      <c r="AJ160" s="1779"/>
      <c r="AK160" s="1779"/>
      <c r="AL160" s="2356"/>
      <c r="AM160" s="2356"/>
      <c r="AN160" s="1779"/>
      <c r="AO160" s="1779"/>
      <c r="AP160" s="1779"/>
      <c r="AQ160" s="1779"/>
    </row>
    <row s="51018" customFormat="1" customHeight="1" ht="17.25">
      <c r="A161" s="2352"/>
      <c r="C161" s="2357"/>
      <c r="D161" s="2342"/>
      <c r="E161" s="2359"/>
      <c r="F161" s="2296"/>
      <c r="G161" s="2360"/>
      <c r="H161" s="3041"/>
      <c r="I161" s="3041"/>
      <c r="J161" s="3013"/>
      <c r="K161" s="2698"/>
      <c r="L161" s="2620"/>
      <c r="M161" s="2620"/>
      <c r="N161" s="3016"/>
      <c r="O161" s="2698"/>
      <c r="P161" s="2620"/>
      <c r="Q161" s="2620"/>
      <c r="R161" s="3014"/>
      <c r="S161" s="2619"/>
      <c r="T161" s="829"/>
      <c r="U161" s="830"/>
      <c r="V161" s="830" t="s">
        <v>553</v>
      </c>
      <c r="W161" s="831"/>
      <c r="Y161" s="1771"/>
      <c r="Z161" s="1771"/>
      <c r="AA161" s="1771"/>
      <c r="AB161" s="1771"/>
      <c r="AC161" s="1771"/>
      <c r="AD161" s="1771"/>
      <c r="AE161" s="1771"/>
      <c r="AF161" s="1771"/>
      <c r="AG161" s="1771"/>
      <c r="AH161" s="1771"/>
      <c r="AI161" s="1771"/>
      <c r="AJ161" s="1771"/>
      <c r="AK161" s="1771"/>
    </row>
    <row s="51018" customFormat="1" customHeight="1" ht="17.25">
      <c r="A162" s="2352"/>
      <c r="C162" s="2357"/>
      <c r="D162" s="2342"/>
      <c r="E162" s="2359"/>
      <c r="F162" s="2296"/>
      <c r="G162" s="2360"/>
      <c r="H162" s="3015"/>
      <c r="I162" s="3015"/>
      <c r="J162" s="3045"/>
      <c r="K162" s="2698"/>
      <c r="L162" s="3015"/>
      <c r="M162" s="3015"/>
      <c r="N162" s="3017"/>
      <c r="O162" s="2624"/>
      <c r="P162" s="829"/>
      <c r="Q162" s="830"/>
      <c r="R162" s="830" t="s">
        <v>290</v>
      </c>
      <c r="S162" s="2358"/>
      <c r="T162" s="2358"/>
      <c r="U162" s="2358"/>
      <c r="V162" s="2358"/>
      <c r="W162" s="831"/>
      <c r="Y162" s="1771"/>
      <c r="Z162" s="1771"/>
      <c r="AA162" s="1771"/>
      <c r="AB162" s="1771"/>
      <c r="AC162" s="1771"/>
      <c r="AD162" s="1771"/>
      <c r="AE162" s="1771"/>
      <c r="AF162" s="1771"/>
      <c r="AG162" s="1771"/>
      <c r="AH162" s="1771"/>
      <c r="AI162" s="1771"/>
      <c r="AJ162" s="1771"/>
      <c r="AK162" s="1771"/>
    </row>
    <row s="51018" customFormat="1" customHeight="1" ht="17.25">
      <c r="A163" s="2352"/>
      <c r="C163" s="2357"/>
      <c r="D163" s="2342"/>
      <c r="E163" s="2359"/>
      <c r="F163" s="2296"/>
      <c r="G163" s="2360"/>
      <c r="H163" s="3015"/>
      <c r="I163" s="3015"/>
      <c r="J163" s="3045"/>
      <c r="K163" s="2624"/>
      <c r="L163" s="829"/>
      <c r="M163" s="830"/>
      <c r="N163" s="830" t="s">
        <v>365</v>
      </c>
      <c r="O163" s="830"/>
      <c r="P163" s="830"/>
      <c r="Q163" s="830"/>
      <c r="R163" s="830"/>
      <c r="S163" s="2358"/>
      <c r="T163" s="2358"/>
      <c r="U163" s="2358"/>
      <c r="V163" s="2358"/>
      <c r="W163" s="831"/>
      <c r="Y163" s="1771"/>
      <c r="Z163" s="1771"/>
      <c r="AA163" s="1771"/>
      <c r="AB163" s="1771"/>
      <c r="AC163" s="1771"/>
      <c r="AD163" s="1771"/>
      <c r="AE163" s="1771"/>
      <c r="AF163" s="1771"/>
      <c r="AG163" s="1771"/>
      <c r="AH163" s="1771"/>
      <c r="AI163" s="1771"/>
      <c r="AJ163" s="1771"/>
      <c r="AK163" s="1771"/>
    </row>
    <row customHeight="1" ht="17.25">
      <c r="G164" s="2351"/>
      <c r="H164" s="2351"/>
      <c r="I164" s="2351"/>
      <c r="M164" s="2347"/>
    </row>
    <row s="51018" customFormat="1" customHeight="1" ht="17.25">
      <c r="A165" s="2352"/>
      <c r="C165" s="2354"/>
      <c r="D165" s="2342"/>
      <c r="E165" s="2359"/>
      <c r="F165" s="2296"/>
      <c r="G165" s="2360"/>
      <c r="H165" s="2342"/>
      <c r="I165" s="2342"/>
      <c r="J165" s="2361"/>
      <c r="K165" s="2272"/>
      <c r="L165" s="2620"/>
      <c r="M165" s="2620" t="s">
        <v>101</v>
      </c>
      <c r="N165" s="3016" t="str">
        <f>IF(Z165="","",INDEX(TERRITORY_MR_LIST,MATCH(Z165,TERRITORY_LIST_ID,0)))</f>
        <v/>
      </c>
      <c r="O165" s="2697" t="s">
        <v>63</v>
      </c>
      <c r="P165" s="2620"/>
      <c r="Q165" s="2620" t="s">
        <v>101</v>
      </c>
      <c r="R165" s="3014" t="s">
        <v>28</v>
      </c>
      <c r="S165" s="2619" t="s">
        <v>63</v>
      </c>
      <c r="T165" s="2323"/>
      <c r="U165" s="2323" t="s">
        <v>101</v>
      </c>
      <c r="V165" s="2355" t="s">
        <v>28</v>
      </c>
      <c r="W165" s="2313"/>
      <c r="Y165" s="1779"/>
      <c r="Z165" s="1779"/>
      <c r="AA165" s="1779"/>
      <c r="AB165" s="1779"/>
      <c r="AC165" s="1779"/>
      <c r="AD165" s="1779"/>
      <c r="AE165" s="1779"/>
      <c r="AF165" s="1779"/>
      <c r="AG165" s="1779"/>
      <c r="AH165" s="1779"/>
      <c r="AI165" s="1779"/>
      <c r="AJ165" s="1779"/>
      <c r="AK165" s="1779"/>
      <c r="AL165" s="2356"/>
      <c r="AM165" s="2356"/>
      <c r="AN165" s="1779"/>
      <c r="AO165" s="1779"/>
      <c r="AP165" s="1779"/>
      <c r="AQ165" s="1779"/>
    </row>
    <row s="51018" customFormat="1" customHeight="1" ht="17.25">
      <c r="A166" s="2352"/>
      <c r="C166" s="2357"/>
      <c r="D166" s="2342"/>
      <c r="E166" s="2359"/>
      <c r="F166" s="2296"/>
      <c r="G166" s="2360"/>
      <c r="H166" s="2342"/>
      <c r="I166" s="2342"/>
      <c r="J166" s="2361"/>
      <c r="K166" s="2272"/>
      <c r="L166" s="2620"/>
      <c r="M166" s="2620"/>
      <c r="N166" s="3016"/>
      <c r="O166" s="2698"/>
      <c r="P166" s="2620"/>
      <c r="Q166" s="2620"/>
      <c r="R166" s="3014"/>
      <c r="S166" s="2619"/>
      <c r="T166" s="829"/>
      <c r="U166" s="830"/>
      <c r="V166" s="830" t="s">
        <v>553</v>
      </c>
      <c r="W166" s="831"/>
      <c r="Y166" s="1771"/>
      <c r="Z166" s="1771"/>
      <c r="AA166" s="1771"/>
      <c r="AB166" s="1771"/>
      <c r="AC166" s="1771"/>
      <c r="AD166" s="1771"/>
      <c r="AE166" s="1771"/>
      <c r="AF166" s="1771"/>
      <c r="AG166" s="1771"/>
      <c r="AH166" s="1771"/>
      <c r="AI166" s="1771"/>
      <c r="AJ166" s="1771"/>
      <c r="AK166" s="1771"/>
    </row>
    <row s="51018" customFormat="1" customHeight="1" ht="17.25">
      <c r="A167" s="2352"/>
      <c r="C167" s="2357"/>
      <c r="D167" s="2342"/>
      <c r="E167" s="2359"/>
      <c r="F167" s="2296"/>
      <c r="G167" s="2360"/>
      <c r="H167" s="2342"/>
      <c r="I167" s="2342"/>
      <c r="J167" s="2361"/>
      <c r="K167" s="2272"/>
      <c r="L167" s="3015"/>
      <c r="M167" s="3015"/>
      <c r="N167" s="3017"/>
      <c r="O167" s="2624"/>
      <c r="P167" s="829"/>
      <c r="Q167" s="830"/>
      <c r="R167" s="830" t="s">
        <v>290</v>
      </c>
      <c r="S167" s="2358"/>
      <c r="T167" s="2358"/>
      <c r="U167" s="2358"/>
      <c r="V167" s="2358"/>
      <c r="W167" s="831"/>
      <c r="Y167" s="1771"/>
      <c r="Z167" s="1771"/>
      <c r="AA167" s="1771"/>
      <c r="AB167" s="1771"/>
      <c r="AC167" s="1771"/>
      <c r="AD167" s="1771"/>
      <c r="AE167" s="1771"/>
      <c r="AF167" s="1771"/>
      <c r="AG167" s="1771"/>
      <c r="AH167" s="1771"/>
      <c r="AI167" s="1771"/>
      <c r="AJ167" s="1771"/>
      <c r="AK167" s="1771"/>
    </row>
    <row customHeight="1" ht="17.25">
      <c r="G168" s="2351"/>
      <c r="H168" s="2351"/>
      <c r="I168" s="2351"/>
      <c r="M168" s="2347"/>
    </row>
    <row s="51018" customFormat="1" customHeight="1" ht="17.25">
      <c r="A169" s="2352"/>
      <c r="C169" s="2354"/>
      <c r="D169" s="2342"/>
      <c r="E169" s="2359"/>
      <c r="F169" s="2296"/>
      <c r="G169" s="2360"/>
      <c r="H169" s="2342"/>
      <c r="I169" s="2342"/>
      <c r="J169" s="2361"/>
      <c r="K169" s="2272"/>
      <c r="L169" s="2268"/>
      <c r="M169" s="2268"/>
      <c r="N169" s="2560"/>
      <c r="O169" s="2299"/>
      <c r="P169" s="2620"/>
      <c r="Q169" s="2620" t="s">
        <v>101</v>
      </c>
      <c r="R169" s="3014" t="s">
        <v>28</v>
      </c>
      <c r="S169" s="2619" t="s">
        <v>63</v>
      </c>
      <c r="T169" s="2323"/>
      <c r="U169" s="2323" t="s">
        <v>101</v>
      </c>
      <c r="V169" s="2355" t="s">
        <v>28</v>
      </c>
      <c r="W169" s="2313"/>
      <c r="Y169" s="1779"/>
      <c r="Z169" s="1779"/>
      <c r="AA169" s="1779"/>
      <c r="AB169" s="1779"/>
      <c r="AC169" s="1779"/>
      <c r="AD169" s="1779"/>
      <c r="AE169" s="1779"/>
      <c r="AF169" s="1779"/>
      <c r="AG169" s="1779"/>
      <c r="AH169" s="1779"/>
      <c r="AI169" s="1779"/>
      <c r="AJ169" s="1779"/>
      <c r="AK169" s="1779"/>
      <c r="AL169" s="2356"/>
      <c r="AM169" s="2356"/>
      <c r="AN169" s="1779"/>
      <c r="AO169" s="1779"/>
      <c r="AP169" s="1779"/>
      <c r="AQ169" s="1779"/>
    </row>
    <row s="51018" customFormat="1" customHeight="1" ht="17.25">
      <c r="A170" s="2352"/>
      <c r="C170" s="2357"/>
      <c r="D170" s="2342"/>
      <c r="E170" s="2359"/>
      <c r="F170" s="2296"/>
      <c r="G170" s="2360"/>
      <c r="H170" s="2342"/>
      <c r="I170" s="2342"/>
      <c r="J170" s="2361"/>
      <c r="K170" s="2272"/>
      <c r="L170" s="2268"/>
      <c r="M170" s="2268"/>
      <c r="N170" s="2560"/>
      <c r="O170" s="2299"/>
      <c r="P170" s="2620"/>
      <c r="Q170" s="2620"/>
      <c r="R170" s="3014"/>
      <c r="S170" s="2619"/>
      <c r="T170" s="829"/>
      <c r="U170" s="830"/>
      <c r="V170" s="830" t="s">
        <v>553</v>
      </c>
      <c r="W170" s="831"/>
      <c r="Y170" s="1771"/>
      <c r="Z170" s="1771"/>
      <c r="AA170" s="1771"/>
      <c r="AB170" s="1771"/>
      <c r="AC170" s="1771"/>
      <c r="AD170" s="1771"/>
      <c r="AE170" s="1771"/>
      <c r="AF170" s="1771"/>
      <c r="AG170" s="1771"/>
      <c r="AH170" s="1771"/>
      <c r="AI170" s="1771"/>
      <c r="AJ170" s="1771"/>
      <c r="AK170" s="1771"/>
    </row>
    <row customHeight="1" ht="17.25">
      <c r="G171" s="2351"/>
      <c r="H171" s="2351"/>
      <c r="I171" s="2351"/>
      <c r="M171" s="2347"/>
    </row>
    <row s="51018" customFormat="1" customHeight="1" ht="17.25">
      <c r="A172" s="2352"/>
      <c r="C172" s="2354"/>
      <c r="D172" s="2342"/>
      <c r="E172" s="2359"/>
      <c r="F172" s="2296"/>
      <c r="G172" s="2360"/>
      <c r="H172" s="2268"/>
      <c r="I172" s="2268"/>
      <c r="J172" s="2269"/>
      <c r="K172" s="2360"/>
      <c r="L172" s="2268"/>
      <c r="M172" s="2268"/>
      <c r="N172" s="2360"/>
      <c r="O172" s="2360"/>
      <c r="P172" s="2268"/>
      <c r="Q172" s="2268"/>
      <c r="R172" s="2270"/>
      <c r="S172" s="2360"/>
      <c r="T172" s="2323"/>
      <c r="U172" s="2323" t="s">
        <v>101</v>
      </c>
      <c r="V172" s="2355" t="s">
        <v>28</v>
      </c>
      <c r="W172" s="2313"/>
      <c r="Y172" s="1779"/>
      <c r="Z172" s="1779"/>
      <c r="AA172" s="1779"/>
      <c r="AB172" s="1779"/>
      <c r="AC172" s="1779"/>
      <c r="AD172" s="1779"/>
      <c r="AE172" s="1779"/>
      <c r="AF172" s="1779"/>
      <c r="AG172" s="1779"/>
      <c r="AH172" s="1779"/>
      <c r="AI172" s="1779"/>
      <c r="AJ172" s="1779"/>
      <c r="AK172" s="1779"/>
      <c r="AL172" s="2356"/>
      <c r="AM172" s="2356"/>
      <c r="AN172" s="1779"/>
      <c r="AO172" s="1779"/>
      <c r="AP172" s="1779"/>
      <c r="AQ172" s="1779"/>
    </row>
    <row r="174" s="61172" customFormat="1" customHeight="1" ht="17.25">
      <c r="A174" s="2327" t="s">
        <v>2079</v>
      </c>
    </row>
    <row customHeight="1" ht="17.25">
      <c r="G175" s="2351"/>
      <c r="H175" s="2351"/>
      <c r="I175" s="2351"/>
      <c r="M175" s="2347"/>
    </row>
    <row s="51018" customFormat="1" customHeight="1" ht="17.25">
      <c r="A176" s="2352"/>
      <c r="C176" s="2354"/>
      <c r="D176" s="3041"/>
      <c r="E176" s="2655"/>
      <c r="F176" s="2657"/>
      <c r="G176" s="3043"/>
      <c r="H176" s="3041"/>
      <c r="I176" s="3041">
        <v>1</v>
      </c>
      <c r="J176" s="3013"/>
      <c r="K176" s="2697" t="s">
        <v>63</v>
      </c>
      <c r="L176" s="2620"/>
      <c r="M176" s="2620" t="s">
        <v>101</v>
      </c>
      <c r="N176" s="3016" t="str">
        <f>IF(Z176="","",INDEX(TERRITORY_MR_LIST,MATCH(Z176,TERRITORY_LIST_ID,0)))</f>
        <v/>
      </c>
      <c r="O176" s="2697" t="s">
        <v>63</v>
      </c>
      <c r="P176" s="2620"/>
      <c r="Q176" s="2620" t="s">
        <v>101</v>
      </c>
      <c r="R176" s="3014" t="s">
        <v>28</v>
      </c>
      <c r="S176" s="2918" t="s">
        <v>19</v>
      </c>
      <c r="T176" s="2314"/>
      <c r="U176" s="2314" t="s">
        <v>101</v>
      </c>
      <c r="V176" s="1946"/>
      <c r="W176" s="3013"/>
      <c r="Y176" s="1779"/>
      <c r="Z176" s="1779"/>
      <c r="AA176" s="1779"/>
      <c r="AB176" s="1779"/>
      <c r="AC176" s="1779"/>
      <c r="AD176" s="1779"/>
      <c r="AE176" s="1779"/>
      <c r="AF176" s="1779"/>
      <c r="AG176" s="1779"/>
      <c r="AH176" s="1779"/>
      <c r="AI176" s="1779"/>
      <c r="AJ176" s="1779"/>
      <c r="AK176" s="1779"/>
      <c r="AL176" s="2356"/>
      <c r="AM176" s="2356"/>
      <c r="AN176" s="1779"/>
      <c r="AO176" s="1779"/>
      <c r="AP176" s="1779"/>
      <c r="AQ176" s="1779"/>
    </row>
    <row s="51018" customFormat="1" customHeight="1" ht="17.25">
      <c r="A177" s="2352"/>
      <c r="C177" s="2357"/>
      <c r="D177" s="3041"/>
      <c r="E177" s="2655"/>
      <c r="F177" s="2658"/>
      <c r="G177" s="3043"/>
      <c r="H177" s="3041"/>
      <c r="I177" s="3041"/>
      <c r="J177" s="3013"/>
      <c r="K177" s="2698"/>
      <c r="L177" s="2620"/>
      <c r="M177" s="2620"/>
      <c r="N177" s="3016"/>
      <c r="O177" s="2698"/>
      <c r="P177" s="2620"/>
      <c r="Q177" s="2620"/>
      <c r="R177" s="3014"/>
      <c r="S177" s="2918"/>
      <c r="T177" s="1947"/>
      <c r="U177" s="1948"/>
      <c r="V177" s="1948"/>
      <c r="W177" s="3013"/>
      <c r="Y177" s="1771"/>
      <c r="Z177" s="1771"/>
      <c r="AA177" s="1771"/>
      <c r="AB177" s="1771"/>
      <c r="AC177" s="1771"/>
      <c r="AD177" s="1771"/>
      <c r="AE177" s="1771"/>
      <c r="AF177" s="1771"/>
      <c r="AG177" s="1771"/>
      <c r="AH177" s="1771"/>
      <c r="AI177" s="1771"/>
      <c r="AJ177" s="1771"/>
      <c r="AK177" s="1771"/>
    </row>
    <row s="51018" customFormat="1" customHeight="1" ht="17.25">
      <c r="A178" s="2352"/>
      <c r="C178" s="2357"/>
      <c r="D178" s="3015"/>
      <c r="E178" s="3042"/>
      <c r="F178" s="2658"/>
      <c r="G178" s="3044"/>
      <c r="H178" s="3015"/>
      <c r="I178" s="3015"/>
      <c r="J178" s="3045"/>
      <c r="K178" s="2698"/>
      <c r="L178" s="3015"/>
      <c r="M178" s="3015"/>
      <c r="N178" s="3017"/>
      <c r="O178" s="2624"/>
      <c r="P178" s="829"/>
      <c r="Q178" s="830"/>
      <c r="R178" s="830" t="s">
        <v>290</v>
      </c>
      <c r="S178" s="2358"/>
      <c r="T178" s="2358"/>
      <c r="U178" s="2358"/>
      <c r="V178" s="2358"/>
      <c r="W178" s="1945"/>
      <c r="Y178" s="1771"/>
      <c r="Z178" s="1771"/>
      <c r="AA178" s="1771"/>
      <c r="AB178" s="1771"/>
      <c r="AC178" s="1771"/>
      <c r="AD178" s="1771"/>
      <c r="AE178" s="1771"/>
      <c r="AF178" s="1771"/>
      <c r="AG178" s="1771"/>
      <c r="AH178" s="1771"/>
      <c r="AI178" s="1771"/>
      <c r="AJ178" s="1771"/>
      <c r="AK178" s="1771"/>
    </row>
    <row s="51018" customFormat="1" customHeight="1" ht="17.25">
      <c r="A179" s="2352"/>
      <c r="C179" s="2357"/>
      <c r="D179" s="3015"/>
      <c r="E179" s="3042"/>
      <c r="F179" s="2658"/>
      <c r="G179" s="3044"/>
      <c r="H179" s="3015"/>
      <c r="I179" s="3015"/>
      <c r="J179" s="3045"/>
      <c r="K179" s="2624"/>
      <c r="L179" s="829"/>
      <c r="M179" s="830"/>
      <c r="N179" s="830" t="s">
        <v>365</v>
      </c>
      <c r="O179" s="830"/>
      <c r="P179" s="830"/>
      <c r="Q179" s="830"/>
      <c r="R179" s="830"/>
      <c r="S179" s="2358"/>
      <c r="T179" s="2358"/>
      <c r="U179" s="2358"/>
      <c r="V179" s="2358"/>
      <c r="W179" s="831"/>
      <c r="Y179" s="1771"/>
      <c r="Z179" s="1771"/>
      <c r="AA179" s="1771"/>
      <c r="AB179" s="1771"/>
      <c r="AC179" s="1771"/>
      <c r="AD179" s="1771"/>
      <c r="AE179" s="1771"/>
      <c r="AF179" s="1771"/>
      <c r="AG179" s="1771"/>
      <c r="AH179" s="1771"/>
      <c r="AI179" s="1771"/>
      <c r="AJ179" s="1771"/>
      <c r="AK179" s="1771"/>
    </row>
    <row s="51018" customFormat="1" customHeight="1" ht="17.25">
      <c r="A180" s="2352"/>
      <c r="C180" s="2357"/>
      <c r="D180" s="3015"/>
      <c r="E180" s="3042"/>
      <c r="F180" s="2659"/>
      <c r="G180" s="3044"/>
      <c r="H180" s="829"/>
      <c r="I180" s="830"/>
      <c r="J180" s="830" t="s">
        <v>366</v>
      </c>
      <c r="K180" s="830"/>
      <c r="L180" s="830"/>
      <c r="M180" s="830"/>
      <c r="N180" s="830"/>
      <c r="O180" s="830"/>
      <c r="P180" s="830"/>
      <c r="Q180" s="830"/>
      <c r="R180" s="830"/>
      <c r="S180" s="2358"/>
      <c r="T180" s="2358"/>
      <c r="U180" s="2358"/>
      <c r="V180" s="2358"/>
      <c r="W180" s="831"/>
      <c r="Y180" s="1771"/>
      <c r="Z180" s="1771"/>
      <c r="AA180" s="1771"/>
      <c r="AB180" s="1771"/>
      <c r="AC180" s="1771"/>
      <c r="AD180" s="1771"/>
      <c r="AE180" s="1771"/>
      <c r="AF180" s="1771"/>
      <c r="AG180" s="1771"/>
      <c r="AH180" s="1771"/>
      <c r="AI180" s="1771"/>
      <c r="AJ180" s="1771"/>
      <c r="AK180" s="1771"/>
    </row>
    <row customHeight="1" ht="17.25">
      <c r="A181" s="2362"/>
    </row>
    <row s="51018" customFormat="1" customHeight="1" ht="17.25">
      <c r="A182" s="2352"/>
      <c r="C182" s="2354"/>
      <c r="D182" s="2342"/>
      <c r="E182" s="2359"/>
      <c r="F182" s="2296"/>
      <c r="G182" s="2360"/>
      <c r="H182" s="3041"/>
      <c r="I182" s="3041">
        <v>1</v>
      </c>
      <c r="J182" s="3013"/>
      <c r="K182" s="2697" t="s">
        <v>63</v>
      </c>
      <c r="L182" s="2620"/>
      <c r="M182" s="2620" t="s">
        <v>101</v>
      </c>
      <c r="N182" s="3016" t="str">
        <f>IF(Z182="","",INDEX(TERRITORY_MR_LIST,MATCH(Z182,TERRITORY_LIST_ID,0)))</f>
        <v/>
      </c>
      <c r="O182" s="2697" t="s">
        <v>63</v>
      </c>
      <c r="P182" s="2620"/>
      <c r="Q182" s="2620" t="s">
        <v>101</v>
      </c>
      <c r="R182" s="3014" t="s">
        <v>28</v>
      </c>
      <c r="S182" s="2918" t="s">
        <v>19</v>
      </c>
      <c r="T182" s="2314"/>
      <c r="U182" s="2314" t="s">
        <v>101</v>
      </c>
      <c r="V182" s="1946"/>
      <c r="W182" s="3013"/>
      <c r="Y182" s="1779"/>
      <c r="Z182" s="1779"/>
      <c r="AA182" s="1779"/>
      <c r="AB182" s="1779"/>
      <c r="AC182" s="1779"/>
      <c r="AD182" s="1779"/>
      <c r="AE182" s="1779"/>
      <c r="AF182" s="1779"/>
      <c r="AG182" s="1779"/>
      <c r="AH182" s="1779"/>
      <c r="AI182" s="1779"/>
      <c r="AJ182" s="1779"/>
      <c r="AK182" s="1779"/>
      <c r="AL182" s="2356"/>
      <c r="AM182" s="2356"/>
      <c r="AN182" s="1779"/>
      <c r="AO182" s="1779"/>
      <c r="AP182" s="1779"/>
      <c r="AQ182" s="1779"/>
    </row>
    <row s="51018" customFormat="1" customHeight="1" ht="17.25">
      <c r="A183" s="2352"/>
      <c r="C183" s="2357"/>
      <c r="D183" s="2342"/>
      <c r="E183" s="2359"/>
      <c r="F183" s="2296"/>
      <c r="G183" s="2360"/>
      <c r="H183" s="3041"/>
      <c r="I183" s="3041"/>
      <c r="J183" s="3013"/>
      <c r="K183" s="2698"/>
      <c r="L183" s="2620"/>
      <c r="M183" s="2620"/>
      <c r="N183" s="3016"/>
      <c r="O183" s="2698"/>
      <c r="P183" s="2620"/>
      <c r="Q183" s="2620"/>
      <c r="R183" s="3014"/>
      <c r="S183" s="2918"/>
      <c r="T183" s="1947"/>
      <c r="U183" s="1948"/>
      <c r="V183" s="1948"/>
      <c r="W183" s="3013"/>
      <c r="Y183" s="1771"/>
      <c r="Z183" s="1771"/>
      <c r="AA183" s="1771"/>
      <c r="AB183" s="1771"/>
      <c r="AC183" s="1771"/>
      <c r="AD183" s="1771"/>
      <c r="AE183" s="1771"/>
      <c r="AF183" s="1771"/>
      <c r="AG183" s="1771"/>
      <c r="AH183" s="1771"/>
      <c r="AI183" s="1771"/>
      <c r="AJ183" s="1771"/>
      <c r="AK183" s="1771"/>
    </row>
    <row s="51018" customFormat="1" customHeight="1" ht="17.25">
      <c r="A184" s="2352"/>
      <c r="C184" s="2357"/>
      <c r="D184" s="2342"/>
      <c r="E184" s="2359"/>
      <c r="F184" s="2296"/>
      <c r="G184" s="2360"/>
      <c r="H184" s="3015"/>
      <c r="I184" s="3015"/>
      <c r="J184" s="3045"/>
      <c r="K184" s="2698"/>
      <c r="L184" s="3015"/>
      <c r="M184" s="3015"/>
      <c r="N184" s="3017"/>
      <c r="O184" s="2624"/>
      <c r="P184" s="829"/>
      <c r="Q184" s="830"/>
      <c r="R184" s="830" t="s">
        <v>290</v>
      </c>
      <c r="S184" s="2358"/>
      <c r="T184" s="2358"/>
      <c r="U184" s="2358"/>
      <c r="V184" s="2358"/>
      <c r="W184" s="1945"/>
      <c r="Y184" s="1771"/>
      <c r="Z184" s="1771"/>
      <c r="AA184" s="1771"/>
      <c r="AB184" s="1771"/>
      <c r="AC184" s="1771"/>
      <c r="AD184" s="1771"/>
      <c r="AE184" s="1771"/>
      <c r="AF184" s="1771"/>
      <c r="AG184" s="1771"/>
      <c r="AH184" s="1771"/>
      <c r="AI184" s="1771"/>
      <c r="AJ184" s="1771"/>
      <c r="AK184" s="1771"/>
    </row>
    <row s="51018" customFormat="1" customHeight="1" ht="17.25">
      <c r="A185" s="2352"/>
      <c r="C185" s="2357"/>
      <c r="D185" s="2342"/>
      <c r="E185" s="2359"/>
      <c r="F185" s="2296"/>
      <c r="G185" s="2360"/>
      <c r="H185" s="3015"/>
      <c r="I185" s="3015"/>
      <c r="J185" s="3045"/>
      <c r="K185" s="2624"/>
      <c r="L185" s="829"/>
      <c r="M185" s="830"/>
      <c r="N185" s="830" t="s">
        <v>365</v>
      </c>
      <c r="O185" s="830"/>
      <c r="P185" s="830"/>
      <c r="Q185" s="830"/>
      <c r="R185" s="830"/>
      <c r="S185" s="2358"/>
      <c r="T185" s="2358"/>
      <c r="U185" s="2358"/>
      <c r="V185" s="2358"/>
      <c r="W185" s="831"/>
      <c r="Y185" s="1771"/>
      <c r="Z185" s="1771"/>
      <c r="AA185" s="1771"/>
      <c r="AB185" s="1771"/>
      <c r="AC185" s="1771"/>
      <c r="AD185" s="1771"/>
      <c r="AE185" s="1771"/>
      <c r="AF185" s="1771"/>
      <c r="AG185" s="1771"/>
      <c r="AH185" s="1771"/>
      <c r="AI185" s="1771"/>
      <c r="AJ185" s="1771"/>
      <c r="AK185" s="1771"/>
    </row>
    <row customHeight="1" ht="17.25">
      <c r="A186" s="2362"/>
    </row>
    <row s="51018" customFormat="1" customHeight="1" ht="17.25">
      <c r="A187" s="2352"/>
      <c r="C187" s="2354"/>
      <c r="D187" s="2342"/>
      <c r="E187" s="2359"/>
      <c r="F187" s="2296"/>
      <c r="G187" s="2360"/>
      <c r="H187" s="2342"/>
      <c r="I187" s="2342"/>
      <c r="J187" s="2363"/>
      <c r="K187" s="2360"/>
      <c r="L187" s="2620"/>
      <c r="M187" s="2620" t="s">
        <v>101</v>
      </c>
      <c r="N187" s="3016" t="str">
        <f>IF(Z187="","",INDEX(TERRITORY_MR_LIST,MATCH(Z187,TERRITORY_LIST_ID,0)))</f>
        <v/>
      </c>
      <c r="O187" s="2697" t="s">
        <v>63</v>
      </c>
      <c r="P187" s="2620"/>
      <c r="Q187" s="2620" t="s">
        <v>101</v>
      </c>
      <c r="R187" s="3014" t="s">
        <v>28</v>
      </c>
      <c r="S187" s="2918" t="s">
        <v>19</v>
      </c>
      <c r="T187" s="2314"/>
      <c r="U187" s="2314" t="s">
        <v>101</v>
      </c>
      <c r="V187" s="1946"/>
      <c r="W187" s="3013"/>
      <c r="Y187" s="1779"/>
      <c r="Z187" s="1779"/>
      <c r="AA187" s="1779"/>
      <c r="AB187" s="1779"/>
      <c r="AC187" s="1779"/>
      <c r="AD187" s="1779"/>
      <c r="AE187" s="1779"/>
      <c r="AF187" s="1779"/>
      <c r="AG187" s="1779"/>
      <c r="AH187" s="1779"/>
      <c r="AI187" s="1779"/>
      <c r="AJ187" s="1779"/>
      <c r="AK187" s="1779"/>
      <c r="AL187" s="2356"/>
      <c r="AM187" s="2356"/>
      <c r="AN187" s="1779"/>
      <c r="AO187" s="1779"/>
      <c r="AP187" s="1779"/>
      <c r="AQ187" s="1779"/>
    </row>
    <row s="51018" customFormat="1" customHeight="1" ht="17.25">
      <c r="A188" s="2352"/>
      <c r="C188" s="2357"/>
      <c r="D188" s="2342"/>
      <c r="E188" s="2359"/>
      <c r="F188" s="2296"/>
      <c r="G188" s="2360"/>
      <c r="H188" s="2342"/>
      <c r="I188" s="2342"/>
      <c r="J188" s="2363"/>
      <c r="K188" s="2360"/>
      <c r="L188" s="2620"/>
      <c r="M188" s="2620"/>
      <c r="N188" s="3016"/>
      <c r="O188" s="2698"/>
      <c r="P188" s="2620"/>
      <c r="Q188" s="2620"/>
      <c r="R188" s="3014"/>
      <c r="S188" s="2918"/>
      <c r="T188" s="1947"/>
      <c r="U188" s="1948"/>
      <c r="V188" s="1948"/>
      <c r="W188" s="3013"/>
      <c r="Y188" s="1771"/>
      <c r="Z188" s="1771"/>
      <c r="AA188" s="1771"/>
      <c r="AB188" s="1771"/>
      <c r="AC188" s="1771"/>
      <c r="AD188" s="1771"/>
      <c r="AE188" s="1771"/>
      <c r="AF188" s="1771"/>
      <c r="AG188" s="1771"/>
      <c r="AH188" s="1771"/>
      <c r="AI188" s="1771"/>
      <c r="AJ188" s="1771"/>
      <c r="AK188" s="1771"/>
    </row>
    <row s="51018" customFormat="1" customHeight="1" ht="17.25">
      <c r="A189" s="2352"/>
      <c r="C189" s="2357"/>
      <c r="D189" s="2342"/>
      <c r="E189" s="2359"/>
      <c r="F189" s="2296"/>
      <c r="G189" s="2360"/>
      <c r="H189" s="2342"/>
      <c r="I189" s="2342"/>
      <c r="J189" s="2363"/>
      <c r="K189" s="2360"/>
      <c r="L189" s="3015"/>
      <c r="M189" s="3015"/>
      <c r="N189" s="3017"/>
      <c r="O189" s="2624"/>
      <c r="P189" s="829"/>
      <c r="Q189" s="830"/>
      <c r="R189" s="830" t="s">
        <v>290</v>
      </c>
      <c r="S189" s="2358"/>
      <c r="T189" s="2358"/>
      <c r="U189" s="2358"/>
      <c r="V189" s="2358"/>
      <c r="W189" s="1945"/>
      <c r="Y189" s="1771"/>
      <c r="Z189" s="1771"/>
      <c r="AA189" s="1771"/>
      <c r="AB189" s="1771"/>
      <c r="AC189" s="1771"/>
      <c r="AD189" s="1771"/>
      <c r="AE189" s="1771"/>
      <c r="AF189" s="1771"/>
      <c r="AG189" s="1771"/>
      <c r="AH189" s="1771"/>
      <c r="AI189" s="1771"/>
      <c r="AJ189" s="1771"/>
      <c r="AK189" s="1771"/>
    </row>
    <row customHeight="1" ht="17.25">
      <c r="A190" s="2362"/>
    </row>
    <row s="51018" customFormat="1" customHeight="1" ht="17.25">
      <c r="A191" s="2352"/>
      <c r="C191" s="2354"/>
      <c r="D191" s="2342"/>
      <c r="E191" s="2359"/>
      <c r="F191" s="2296"/>
      <c r="G191" s="2360"/>
      <c r="H191" s="2342"/>
      <c r="I191" s="2342"/>
      <c r="J191" s="2363"/>
      <c r="K191" s="2360"/>
      <c r="L191" s="2342"/>
      <c r="M191" s="2342"/>
      <c r="N191" s="2560"/>
      <c r="O191" s="2299"/>
      <c r="P191" s="2620"/>
      <c r="Q191" s="2620" t="s">
        <v>101</v>
      </c>
      <c r="R191" s="3014" t="s">
        <v>28</v>
      </c>
      <c r="S191" s="2918" t="s">
        <v>19</v>
      </c>
      <c r="T191" s="2314"/>
      <c r="U191" s="2314" t="s">
        <v>101</v>
      </c>
      <c r="V191" s="1946"/>
      <c r="W191" s="3013"/>
      <c r="Y191" s="1779"/>
      <c r="Z191" s="1779"/>
      <c r="AA191" s="1779"/>
      <c r="AB191" s="1779"/>
      <c r="AC191" s="1779"/>
      <c r="AD191" s="1779"/>
      <c r="AE191" s="1779"/>
      <c r="AF191" s="1779"/>
      <c r="AG191" s="1779"/>
      <c r="AH191" s="1779"/>
      <c r="AI191" s="1779"/>
      <c r="AJ191" s="1779"/>
      <c r="AK191" s="1779"/>
      <c r="AL191" s="2356"/>
      <c r="AM191" s="2356"/>
      <c r="AN191" s="1779"/>
      <c r="AO191" s="1779"/>
      <c r="AP191" s="1779"/>
      <c r="AQ191" s="1779"/>
    </row>
    <row s="51018" customFormat="1" customHeight="1" ht="17.25">
      <c r="A192" s="2352"/>
      <c r="C192" s="2357"/>
      <c r="D192" s="2342"/>
      <c r="E192" s="2359"/>
      <c r="F192" s="2296"/>
      <c r="G192" s="2360"/>
      <c r="H192" s="2342"/>
      <c r="I192" s="2342"/>
      <c r="J192" s="2363"/>
      <c r="K192" s="2360"/>
      <c r="L192" s="2342"/>
      <c r="M192" s="2342"/>
      <c r="N192" s="2560"/>
      <c r="O192" s="2299"/>
      <c r="P192" s="2620"/>
      <c r="Q192" s="2620"/>
      <c r="R192" s="3014"/>
      <c r="S192" s="2918"/>
      <c r="T192" s="1947"/>
      <c r="U192" s="1948"/>
      <c r="V192" s="1948"/>
      <c r="W192" s="3013"/>
      <c r="Y192" s="1771"/>
      <c r="Z192" s="1771"/>
      <c r="AA192" s="1771"/>
      <c r="AB192" s="1771"/>
      <c r="AC192" s="1771"/>
      <c r="AD192" s="1771"/>
      <c r="AE192" s="1771"/>
      <c r="AF192" s="1771"/>
      <c r="AG192" s="1771"/>
      <c r="AH192" s="1771"/>
      <c r="AI192" s="1771"/>
      <c r="AJ192" s="1771"/>
      <c r="AK192" s="1771"/>
    </row>
    <row customHeight="1" ht="17.25">
      <c r="A193" s="2362"/>
    </row>
    <row customHeight="1" ht="16.5">
      <c r="A194" s="2352"/>
      <c r="B194" s="2353"/>
      <c r="C194" s="2357"/>
      <c r="D194" s="3065"/>
      <c r="E194" s="2691"/>
      <c r="F194" s="2691"/>
      <c r="G194" s="2639"/>
      <c r="H194" s="3066"/>
      <c r="I194" s="3079"/>
      <c r="J194" s="2664"/>
      <c r="K194" s="2649"/>
      <c r="L194" s="2649"/>
      <c r="M194" s="2649"/>
      <c r="N194" s="3077"/>
      <c r="O194" s="2649"/>
      <c r="P194" s="2649"/>
      <c r="Q194" s="2649"/>
      <c r="R194" s="3075"/>
      <c r="S194" s="2649"/>
      <c r="T194" s="2295"/>
      <c r="U194" s="2295"/>
      <c r="V194" s="2364"/>
      <c r="W194" s="1808"/>
    </row>
    <row customHeight="1" ht="16.5">
      <c r="A195" s="2352"/>
      <c r="B195" s="2353"/>
      <c r="C195" s="2357"/>
      <c r="D195" s="3065"/>
      <c r="E195" s="2691"/>
      <c r="F195" s="2691"/>
      <c r="G195" s="2639"/>
      <c r="H195" s="3067"/>
      <c r="I195" s="3080"/>
      <c r="J195" s="2665"/>
      <c r="K195" s="2650"/>
      <c r="L195" s="2650"/>
      <c r="M195" s="2650"/>
      <c r="N195" s="3078"/>
      <c r="O195" s="2650"/>
      <c r="P195" s="2650"/>
      <c r="Q195" s="2650"/>
      <c r="R195" s="3076"/>
      <c r="S195" s="2650"/>
      <c r="T195" s="1809"/>
      <c r="U195" s="1809"/>
      <c r="V195" s="1809"/>
      <c r="W195" s="1810"/>
    </row>
    <row customHeight="1" ht="17.25">
      <c r="A196" s="2352"/>
      <c r="B196" s="2353"/>
      <c r="C196" s="2357"/>
      <c r="D196" s="3065"/>
      <c r="E196" s="2691"/>
      <c r="F196" s="2691"/>
      <c r="G196" s="2639"/>
      <c r="H196" s="3067"/>
      <c r="I196" s="3080"/>
      <c r="J196" s="3068"/>
      <c r="K196" s="2650"/>
      <c r="L196" s="2650"/>
      <c r="M196" s="2650"/>
      <c r="N196" s="3076"/>
      <c r="O196" s="2650"/>
      <c r="P196" s="2298"/>
      <c r="Q196" s="1809"/>
      <c r="R196" s="1809"/>
      <c r="S196" s="2365"/>
      <c r="T196" s="2365"/>
      <c r="U196" s="2365"/>
      <c r="V196" s="2365"/>
      <c r="W196" s="1810"/>
    </row>
    <row customHeight="1" ht="17.25">
      <c r="A197" s="2352"/>
      <c r="B197" s="2353"/>
      <c r="C197" s="2357"/>
      <c r="D197" s="3065"/>
      <c r="E197" s="2691"/>
      <c r="F197" s="2691"/>
      <c r="G197" s="2639"/>
      <c r="H197" s="3067"/>
      <c r="I197" s="3080"/>
      <c r="J197" s="3068"/>
      <c r="K197" s="2650"/>
      <c r="L197" s="1809"/>
      <c r="M197" s="1809"/>
      <c r="N197" s="1809"/>
      <c r="O197" s="1809"/>
      <c r="P197" s="1809"/>
      <c r="Q197" s="1809"/>
      <c r="R197" s="1809"/>
      <c r="S197" s="2365"/>
      <c r="T197" s="2365"/>
      <c r="U197" s="2365"/>
      <c r="V197" s="2365"/>
      <c r="W197" s="1810"/>
    </row>
    <row customHeight="1" ht="17.25">
      <c r="A198" s="2352"/>
      <c r="B198" s="2353"/>
      <c r="C198" s="2357"/>
      <c r="D198" s="3065"/>
      <c r="E198" s="2691"/>
      <c r="F198" s="2691"/>
      <c r="G198" s="2639"/>
      <c r="H198" s="1811"/>
      <c r="I198" s="1812"/>
      <c r="J198" s="1812"/>
      <c r="K198" s="1812"/>
      <c r="L198" s="1812"/>
      <c r="M198" s="1812"/>
      <c r="N198" s="1812"/>
      <c r="O198" s="1812"/>
      <c r="P198" s="1812"/>
      <c r="Q198" s="1812"/>
      <c r="R198" s="1812"/>
      <c r="S198" s="2366"/>
      <c r="T198" s="2366"/>
      <c r="U198" s="2366"/>
      <c r="V198" s="2366"/>
      <c r="W198" s="1814"/>
    </row>
    <row r="200" s="61172" customFormat="1" customHeight="1" ht="17.25">
      <c r="A200" s="2327" t="s">
        <v>2080</v>
      </c>
    </row>
    <row customHeight="1" ht="17.25">
      <c r="G201" s="2351"/>
      <c r="H201" s="2351"/>
      <c r="I201" s="2351"/>
      <c r="M201" s="2347"/>
    </row>
    <row s="50942" customFormat="1" customHeight="1" ht="15">
      <c r="D202" s="3035"/>
      <c r="E202" s="2711"/>
      <c r="F202" s="2711"/>
      <c r="G202" s="2697"/>
      <c r="H202" s="2076"/>
      <c r="I202" s="3039">
        <v>1</v>
      </c>
      <c r="J202" s="3013"/>
      <c r="K202" s="2091"/>
      <c r="L202" s="2697" t="s">
        <v>63</v>
      </c>
      <c r="M202" s="2697" t="s">
        <v>63</v>
      </c>
      <c r="N202" s="2076"/>
      <c r="O202" s="2620" t="s">
        <v>101</v>
      </c>
      <c r="P202" s="3029"/>
      <c r="Q202" s="2092"/>
      <c r="R202" s="2697" t="s">
        <v>63</v>
      </c>
      <c r="S202" s="2697" t="s">
        <v>63</v>
      </c>
      <c r="T202" s="2367"/>
      <c r="U202" s="2620" t="s">
        <v>101</v>
      </c>
      <c r="V202" s="3036" t="str">
        <f>IF(AK202="","",INDEX(TERRITORY_MR_LIST,MATCH(AK202,TERRITORY_LIST_ID,0)))</f>
        <v/>
      </c>
      <c r="W202" s="2093"/>
      <c r="X202" s="2697" t="s">
        <v>63</v>
      </c>
      <c r="Y202" s="2697" t="s">
        <v>19</v>
      </c>
      <c r="Z202" s="2076"/>
      <c r="AA202" s="2620" t="s">
        <v>101</v>
      </c>
      <c r="AB202" s="3038"/>
      <c r="AC202" s="2094"/>
      <c r="AD202" s="2697" t="s">
        <v>63</v>
      </c>
      <c r="AE202" s="2697" t="s">
        <v>19</v>
      </c>
      <c r="AF202" s="2074"/>
      <c r="AG202" s="2323" t="s">
        <v>101</v>
      </c>
      <c r="AH202" s="2084"/>
      <c r="AI202" s="2313"/>
    </row>
    <row s="50942" customFormat="1" customHeight="1" ht="15">
      <c r="D203" s="3035"/>
      <c r="E203" s="2711"/>
      <c r="F203" s="2711"/>
      <c r="G203" s="2698"/>
      <c r="H203" s="2076"/>
      <c r="I203" s="3039"/>
      <c r="J203" s="3013"/>
      <c r="K203" s="2075"/>
      <c r="L203" s="2698"/>
      <c r="M203" s="2698"/>
      <c r="N203" s="2076"/>
      <c r="O203" s="2620"/>
      <c r="P203" s="3029"/>
      <c r="Q203" s="2072"/>
      <c r="R203" s="2698"/>
      <c r="S203" s="2698"/>
      <c r="T203" s="2367"/>
      <c r="U203" s="2620"/>
      <c r="V203" s="3037"/>
      <c r="W203" s="2073"/>
      <c r="X203" s="2698"/>
      <c r="Y203" s="2698"/>
      <c r="Z203" s="2076"/>
      <c r="AA203" s="2620"/>
      <c r="AB203" s="3007"/>
      <c r="AC203" s="2077"/>
      <c r="AD203" s="2624"/>
      <c r="AE203" s="2624"/>
      <c r="AF203" s="2078"/>
      <c r="AG203" s="2079"/>
      <c r="AH203" s="3030" t="s">
        <v>2081</v>
      </c>
      <c r="AI203" s="3031"/>
    </row>
    <row s="50942" customFormat="1" customHeight="1" ht="15">
      <c r="D204" s="3035"/>
      <c r="E204" s="2711"/>
      <c r="F204" s="2711"/>
      <c r="G204" s="2698"/>
      <c r="H204" s="2076"/>
      <c r="I204" s="3039"/>
      <c r="J204" s="3013"/>
      <c r="K204" s="2075"/>
      <c r="L204" s="2698"/>
      <c r="M204" s="2698"/>
      <c r="N204" s="2076"/>
      <c r="O204" s="2620"/>
      <c r="P204" s="3029"/>
      <c r="Q204" s="2072"/>
      <c r="R204" s="2698"/>
      <c r="S204" s="2698"/>
      <c r="T204" s="2367"/>
      <c r="U204" s="2620"/>
      <c r="V204" s="3037"/>
      <c r="W204" s="2073"/>
      <c r="X204" s="2698"/>
      <c r="Y204" s="2698"/>
      <c r="Z204" s="2115"/>
      <c r="AA204" s="2081"/>
      <c r="AB204" s="3032" t="s">
        <v>2082</v>
      </c>
      <c r="AC204" s="3032"/>
      <c r="AD204" s="3032"/>
      <c r="AE204" s="3032"/>
      <c r="AF204" s="3032"/>
      <c r="AG204" s="3032"/>
      <c r="AH204" s="3032"/>
      <c r="AI204" s="3033"/>
    </row>
    <row s="50942" customFormat="1" customHeight="1" ht="15">
      <c r="D205" s="3035"/>
      <c r="E205" s="2711"/>
      <c r="F205" s="2711"/>
      <c r="G205" s="2698"/>
      <c r="H205" s="2076"/>
      <c r="I205" s="3039"/>
      <c r="J205" s="3013"/>
      <c r="K205" s="2075"/>
      <c r="L205" s="2698"/>
      <c r="M205" s="2698"/>
      <c r="N205" s="2076"/>
      <c r="O205" s="2620"/>
      <c r="P205" s="3034"/>
      <c r="Q205" s="2072"/>
      <c r="R205" s="2698"/>
      <c r="S205" s="2698"/>
      <c r="T205" s="2368"/>
      <c r="U205" s="2116"/>
      <c r="V205" s="3030" t="s">
        <v>173</v>
      </c>
      <c r="W205" s="3030"/>
      <c r="X205" s="3030"/>
      <c r="Y205" s="3030"/>
      <c r="Z205" s="3030"/>
      <c r="AA205" s="3030"/>
      <c r="AB205" s="3030"/>
      <c r="AC205" s="3030"/>
      <c r="AD205" s="3030"/>
      <c r="AE205" s="3030"/>
      <c r="AF205" s="3030"/>
      <c r="AG205" s="3030"/>
      <c r="AH205" s="3030"/>
      <c r="AI205" s="3031"/>
    </row>
    <row s="50942" customFormat="1" customHeight="1" ht="11.25">
      <c r="D206" s="3035"/>
      <c r="E206" s="2711"/>
      <c r="F206" s="2711"/>
      <c r="G206" s="2698"/>
      <c r="H206" s="2080"/>
      <c r="I206" s="3039"/>
      <c r="J206" s="3040"/>
      <c r="K206" s="2075"/>
      <c r="L206" s="2698"/>
      <c r="M206" s="2698"/>
      <c r="N206" s="2080"/>
      <c r="O206" s="2081"/>
      <c r="P206" s="3030" t="s">
        <v>2083</v>
      </c>
      <c r="Q206" s="3030"/>
      <c r="R206" s="3030"/>
      <c r="S206" s="3030"/>
      <c r="T206" s="3030"/>
      <c r="U206" s="3030"/>
      <c r="V206" s="3030"/>
      <c r="W206" s="3030"/>
      <c r="X206" s="3030"/>
      <c r="Y206" s="3030"/>
      <c r="Z206" s="3030"/>
      <c r="AA206" s="3030"/>
      <c r="AB206" s="3030"/>
      <c r="AC206" s="3030"/>
      <c r="AD206" s="3030"/>
      <c r="AE206" s="3030"/>
      <c r="AF206" s="3030"/>
      <c r="AG206" s="3030"/>
      <c r="AH206" s="3030"/>
      <c r="AI206" s="3031"/>
    </row>
    <row s="51361" customFormat="1" customHeight="1" ht="11.25">
      <c r="D207" s="3035"/>
      <c r="E207" s="2711"/>
      <c r="F207" s="2711"/>
      <c r="G207" s="2624"/>
      <c r="H207" s="2082"/>
      <c r="I207" s="2083"/>
      <c r="J207" s="3030" t="s">
        <v>366</v>
      </c>
      <c r="K207" s="3030"/>
      <c r="L207" s="3030"/>
      <c r="M207" s="3030"/>
      <c r="N207" s="3030"/>
      <c r="O207" s="3030"/>
      <c r="P207" s="3030"/>
      <c r="Q207" s="3030"/>
      <c r="R207" s="3030"/>
      <c r="S207" s="3030"/>
      <c r="T207" s="3030"/>
      <c r="U207" s="3030"/>
      <c r="V207" s="3030"/>
      <c r="W207" s="3030"/>
      <c r="X207" s="3030"/>
      <c r="Y207" s="3030"/>
      <c r="Z207" s="3030"/>
      <c r="AA207" s="3030"/>
      <c r="AB207" s="3030"/>
      <c r="AC207" s="3030"/>
      <c r="AD207" s="3030"/>
      <c r="AE207" s="3030"/>
      <c r="AF207" s="3030"/>
      <c r="AG207" s="3030"/>
      <c r="AH207" s="3030"/>
      <c r="AI207" s="3031"/>
      <c r="BK207" s="2086"/>
    </row>
    <row customHeight="1" ht="17.25">
      <c r="G208" s="2351"/>
      <c r="I208" s="2351"/>
      <c r="J208" s="2351"/>
      <c r="N208" s="2347"/>
    </row>
    <row s="50942" customFormat="1" customHeight="1" ht="15">
      <c r="D209" s="3035"/>
      <c r="E209" s="2711"/>
      <c r="F209" s="2711"/>
      <c r="G209" s="2691"/>
      <c r="H209" s="2111"/>
      <c r="I209" s="2693"/>
      <c r="J209" s="2664"/>
      <c r="K209" s="2297"/>
      <c r="L209" s="2649"/>
      <c r="M209" s="2649"/>
      <c r="N209" s="2096"/>
      <c r="O209" s="2649"/>
      <c r="P209" s="2664"/>
      <c r="Q209" s="2301"/>
      <c r="R209" s="2649"/>
      <c r="S209" s="2649"/>
      <c r="T209" s="2369"/>
      <c r="U209" s="2649"/>
      <c r="V209" s="2664"/>
      <c r="W209" s="2099"/>
      <c r="X209" s="2649"/>
      <c r="Y209" s="2649"/>
      <c r="Z209" s="2096"/>
      <c r="AA209" s="2649"/>
      <c r="AB209" s="2664"/>
      <c r="AC209" s="2100"/>
      <c r="AD209" s="2649"/>
      <c r="AE209" s="2649"/>
      <c r="AF209" s="2295"/>
      <c r="AG209" s="2295"/>
      <c r="AH209" s="2101"/>
      <c r="AI209" s="1808"/>
    </row>
    <row s="50942" customFormat="1" customHeight="1" ht="15">
      <c r="D210" s="3035"/>
      <c r="E210" s="2711"/>
      <c r="F210" s="2711"/>
      <c r="G210" s="2691"/>
      <c r="H210" s="2112"/>
      <c r="I210" s="2694"/>
      <c r="J210" s="2665"/>
      <c r="K210" s="2122"/>
      <c r="L210" s="2650"/>
      <c r="M210" s="2650"/>
      <c r="N210" s="2102"/>
      <c r="O210" s="2650"/>
      <c r="P210" s="2665"/>
      <c r="Q210" s="2302"/>
      <c r="R210" s="2650"/>
      <c r="S210" s="2650"/>
      <c r="T210" s="2370"/>
      <c r="U210" s="2650"/>
      <c r="V210" s="2665"/>
      <c r="W210" s="2105"/>
      <c r="X210" s="2650"/>
      <c r="Y210" s="2650"/>
      <c r="Z210" s="2102"/>
      <c r="AA210" s="2650"/>
      <c r="AB210" s="2665"/>
      <c r="AC210" s="2106"/>
      <c r="AD210" s="2650"/>
      <c r="AE210" s="2650"/>
      <c r="AF210" s="2300"/>
      <c r="AG210" s="2300"/>
      <c r="AH210" s="2689"/>
      <c r="AI210" s="2690"/>
    </row>
    <row s="50942" customFormat="1" customHeight="1" ht="15">
      <c r="D211" s="3035"/>
      <c r="E211" s="2711"/>
      <c r="F211" s="2711"/>
      <c r="G211" s="2691"/>
      <c r="H211" s="2112"/>
      <c r="I211" s="2694"/>
      <c r="J211" s="2665"/>
      <c r="K211" s="2122"/>
      <c r="L211" s="2650"/>
      <c r="M211" s="2650"/>
      <c r="N211" s="2102"/>
      <c r="O211" s="2650"/>
      <c r="P211" s="2665"/>
      <c r="Q211" s="2302"/>
      <c r="R211" s="2650"/>
      <c r="S211" s="2650"/>
      <c r="T211" s="2370"/>
      <c r="U211" s="2650"/>
      <c r="V211" s="2665"/>
      <c r="W211" s="2105"/>
      <c r="X211" s="2650"/>
      <c r="Y211" s="2650"/>
      <c r="Z211" s="2298"/>
      <c r="AA211" s="2300"/>
      <c r="AB211" s="2689"/>
      <c r="AC211" s="2689"/>
      <c r="AD211" s="2689"/>
      <c r="AE211" s="2689"/>
      <c r="AF211" s="2689"/>
      <c r="AG211" s="2689"/>
      <c r="AH211" s="2689"/>
      <c r="AI211" s="2690"/>
    </row>
    <row s="50942" customFormat="1" customHeight="1" ht="15">
      <c r="D212" s="3035"/>
      <c r="E212" s="2711"/>
      <c r="F212" s="2711"/>
      <c r="G212" s="2691"/>
      <c r="H212" s="2112"/>
      <c r="I212" s="2694"/>
      <c r="J212" s="2665"/>
      <c r="K212" s="2122"/>
      <c r="L212" s="2650"/>
      <c r="M212" s="2650"/>
      <c r="N212" s="2102"/>
      <c r="O212" s="2650"/>
      <c r="P212" s="2665"/>
      <c r="Q212" s="2302"/>
      <c r="R212" s="2650"/>
      <c r="S212" s="2650"/>
      <c r="T212" s="2371"/>
      <c r="U212" s="2109"/>
      <c r="V212" s="2689"/>
      <c r="W212" s="2689"/>
      <c r="X212" s="2689"/>
      <c r="Y212" s="2689"/>
      <c r="Z212" s="2689"/>
      <c r="AA212" s="2689"/>
      <c r="AB212" s="2689"/>
      <c r="AC212" s="2689"/>
      <c r="AD212" s="2689"/>
      <c r="AE212" s="2689"/>
      <c r="AF212" s="2689"/>
      <c r="AG212" s="2689"/>
      <c r="AH212" s="2689"/>
      <c r="AI212" s="2690"/>
    </row>
    <row s="50942" customFormat="1" customHeight="1" ht="11.25">
      <c r="D213" s="3035"/>
      <c r="E213" s="2711"/>
      <c r="F213" s="2711"/>
      <c r="G213" s="2691"/>
      <c r="H213" s="2113"/>
      <c r="I213" s="2694"/>
      <c r="J213" s="2665"/>
      <c r="K213" s="2122"/>
      <c r="L213" s="2650"/>
      <c r="M213" s="2650"/>
      <c r="N213" s="2300"/>
      <c r="O213" s="2300"/>
      <c r="P213" s="2689"/>
      <c r="Q213" s="2689"/>
      <c r="R213" s="2689"/>
      <c r="S213" s="2689"/>
      <c r="T213" s="2689"/>
      <c r="U213" s="2689"/>
      <c r="V213" s="2689"/>
      <c r="W213" s="2689"/>
      <c r="X213" s="2689"/>
      <c r="Y213" s="2689"/>
      <c r="Z213" s="2689"/>
      <c r="AA213" s="2689"/>
      <c r="AB213" s="2689"/>
      <c r="AC213" s="2689"/>
      <c r="AD213" s="2689"/>
      <c r="AE213" s="2689"/>
      <c r="AF213" s="2689"/>
      <c r="AG213" s="2689"/>
      <c r="AH213" s="2689"/>
      <c r="AI213" s="2690"/>
    </row>
    <row s="51361" customFormat="1" customHeight="1" ht="11.25">
      <c r="D214" s="3035"/>
      <c r="E214" s="2711"/>
      <c r="F214" s="2711"/>
      <c r="G214" s="2696"/>
      <c r="H214" s="2110"/>
      <c r="I214" s="2114"/>
      <c r="J214" s="2699"/>
      <c r="K214" s="2699"/>
      <c r="L214" s="2699"/>
      <c r="M214" s="2699"/>
      <c r="N214" s="2699"/>
      <c r="O214" s="2699"/>
      <c r="P214" s="2699"/>
      <c r="Q214" s="2699"/>
      <c r="R214" s="2699"/>
      <c r="S214" s="2699"/>
      <c r="T214" s="2699"/>
      <c r="U214" s="2699"/>
      <c r="V214" s="2699"/>
      <c r="W214" s="2699"/>
      <c r="X214" s="2699"/>
      <c r="Y214" s="2699"/>
      <c r="Z214" s="2699"/>
      <c r="AA214" s="2699"/>
      <c r="AB214" s="2699"/>
      <c r="AC214" s="2699"/>
      <c r="AD214" s="2699"/>
      <c r="AE214" s="2699"/>
      <c r="AF214" s="2699"/>
      <c r="AG214" s="2699"/>
      <c r="AH214" s="2699"/>
      <c r="AI214" s="2700"/>
      <c r="BK214" s="2086"/>
    </row>
    <row customHeight="1" ht="17.25">
      <c r="A215" s="236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BFF41C-473D-CC7B-D8F8-9AE1207143D1}"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61463" width="43.140625"/>
    <col min="2" max="2" style="61463" width="43.140625" hidden="1"/>
    <col min="3" max="3" style="61463" width="43.140625"/>
    <col min="4" max="5" style="61463" width="36.421875" customWidth="1"/>
    <col min="6" max="8" style="61464" width="36.421875" customWidth="1"/>
  </cols>
  <sheetData>
    <row customHeight="1" ht="9">
      <c r="A1" s="1358" t="s">
        <v>2084</v>
      </c>
      <c r="B1" s="1358"/>
      <c r="C1" s="1494" t="s">
        <v>2085</v>
      </c>
      <c r="D1" s="1492" t="s">
        <v>945</v>
      </c>
      <c r="E1" s="1492" t="s">
        <v>991</v>
      </c>
      <c r="F1" s="1492" t="s">
        <v>1044</v>
      </c>
      <c r="G1" s="1492" t="s">
        <v>1031</v>
      </c>
      <c r="H1" s="1492" t="s">
        <v>1759</v>
      </c>
    </row>
    <row customHeight="1" ht="9">
      <c r="A2" s="1495" t="s">
        <v>2086</v>
      </c>
      <c r="B2" s="1495"/>
      <c r="C2" s="1496" t="str">
        <f>INDEX(TEMPLATE_NUMBER_FORM_LIST,MATCH(TEMPLATE_SPHERE,TEMPLATE_SPHERE_LIST,0))</f>
        <v>10</v>
      </c>
      <c r="D2" s="1495" t="s">
        <v>118</v>
      </c>
      <c r="E2" s="1495" t="s">
        <v>145</v>
      </c>
      <c r="F2" s="1497" t="s">
        <v>145</v>
      </c>
      <c r="G2" s="1495" t="s">
        <v>145</v>
      </c>
      <c r="H2" s="1498"/>
    </row>
    <row customHeight="1" ht="63">
      <c r="A3" s="1358"/>
      <c r="B3" s="1358" t="s">
        <v>101</v>
      </c>
      <c r="C3" s="149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496" t="s">
        <v>2087</v>
      </c>
      <c r="E3" s="149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497"/>
      <c r="G3" s="1498"/>
      <c r="H3" s="1358"/>
    </row>
    <row customHeight="1" ht="243">
      <c r="A4" s="1358" t="s">
        <v>2088</v>
      </c>
      <c r="B4" s="1358" t="s">
        <v>105</v>
      </c>
      <c r="C4" s="1496" t="str">
        <f>IF(TEMPLATE_SPHERE="HEAT",D4,IF(TEMPLATE_SPHERE="TKO",H4,E4))</f>
        <v>Форма 1. Информация об организации, осуществляющей холодное водоснабжение (общая информация)</v>
      </c>
      <c r="D4" s="1495" t="s">
        <v>2089</v>
      </c>
      <c r="E4" s="149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495"/>
      <c r="G4" s="1495"/>
      <c r="H4" s="1358" t="s">
        <v>2090</v>
      </c>
    </row>
    <row customHeight="1" ht="117">
      <c r="A5" s="1358" t="s">
        <v>2091</v>
      </c>
      <c r="B5" s="1358" t="s">
        <v>92</v>
      </c>
      <c r="C5" s="149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358" t="s">
        <v>2092</v>
      </c>
      <c r="E5" s="13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498"/>
      <c r="G5" s="1498"/>
      <c r="H5" s="1358" t="s">
        <v>2093</v>
      </c>
    </row>
    <row customHeight="1" ht="90">
      <c r="A6" s="1358" t="s">
        <v>2094</v>
      </c>
      <c r="B6" s="1358" t="s">
        <v>93</v>
      </c>
      <c r="C6" s="149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36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3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358"/>
      <c r="G6" s="1358"/>
      <c r="H6" s="1498"/>
    </row>
    <row customHeight="1" ht="45">
      <c r="A7" s="1358" t="s">
        <v>2095</v>
      </c>
      <c r="B7" s="1358" t="s">
        <v>121</v>
      </c>
      <c r="C7" s="149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58" t="s">
        <v>2096</v>
      </c>
      <c r="E7" s="1358" t="s">
        <v>2097</v>
      </c>
      <c r="F7" s="1498"/>
      <c r="G7" s="1498"/>
      <c r="H7" s="1498"/>
    </row>
    <row customHeight="1" ht="108">
      <c r="A8" s="1358" t="s">
        <v>2098</v>
      </c>
      <c r="B8" s="1358" t="s">
        <v>94</v>
      </c>
      <c r="C8" s="149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58" t="s">
        <v>1299</v>
      </c>
      <c r="E8" s="1358" t="s">
        <v>2099</v>
      </c>
      <c r="F8" s="1498"/>
      <c r="G8" s="1498"/>
      <c r="H8" s="1498"/>
    </row>
    <row customHeight="1" ht="99">
      <c r="A9" s="1358" t="s">
        <v>2100</v>
      </c>
      <c r="B9" s="1358"/>
      <c r="C9" s="1358" t="s">
        <v>2101</v>
      </c>
      <c r="D9" s="1358"/>
      <c r="E9" s="1358"/>
      <c r="F9" s="1498"/>
      <c r="G9" s="1498"/>
      <c r="H9" s="1498"/>
    </row>
    <row customHeight="1" ht="126">
      <c r="A10" s="1358" t="s">
        <v>2102</v>
      </c>
      <c r="B10" s="1358"/>
      <c r="C10" s="1358" t="s">
        <v>2103</v>
      </c>
      <c r="D10" s="1358"/>
      <c r="E10" s="1358"/>
      <c r="F10" s="1498"/>
      <c r="G10" s="1498"/>
      <c r="H10" s="1498"/>
    </row>
    <row customHeight="1" ht="108">
      <c r="A11" s="1358" t="s">
        <v>2104</v>
      </c>
      <c r="B11" s="1358"/>
      <c r="C11" s="1358" t="s">
        <v>2105</v>
      </c>
      <c r="D11" s="1358"/>
      <c r="E11" s="1358"/>
      <c r="F11" s="1498"/>
      <c r="G11" s="1498"/>
      <c r="H11" s="1498"/>
    </row>
    <row customHeight="1" ht="54">
      <c r="A12" s="1358" t="s">
        <v>2106</v>
      </c>
      <c r="B12" s="1358"/>
      <c r="C12" s="1358" t="s">
        <v>2107</v>
      </c>
      <c r="D12" s="1358"/>
      <c r="E12" s="1358"/>
      <c r="F12" s="1498"/>
      <c r="G12" s="1498"/>
      <c r="H12" s="1498"/>
    </row>
    <row customHeight="1" ht="45">
      <c r="A13" s="1358" t="s">
        <v>2108</v>
      </c>
      <c r="B13" s="1358"/>
      <c r="C13" s="1358" t="s">
        <v>2109</v>
      </c>
      <c r="D13" s="1358"/>
      <c r="E13" s="1358"/>
      <c r="F13" s="1498"/>
      <c r="G13" s="1498"/>
      <c r="H13" s="1498"/>
    </row>
    <row customHeight="1" ht="117">
      <c r="A14" s="1358" t="s">
        <v>2110</v>
      </c>
      <c r="B14" s="1358"/>
      <c r="C14" s="1358" t="s">
        <v>2111</v>
      </c>
      <c r="D14" s="1358"/>
      <c r="E14" s="1358"/>
      <c r="F14" s="1498"/>
      <c r="G14" s="1498"/>
      <c r="H14" s="1498"/>
    </row>
    <row customHeight="1" ht="117">
      <c r="A15" s="1358" t="s">
        <v>2112</v>
      </c>
      <c r="B15" s="1358"/>
      <c r="C15" s="1358" t="s">
        <v>2113</v>
      </c>
      <c r="D15" s="1358"/>
      <c r="E15" s="1358"/>
      <c r="F15" s="1498"/>
      <c r="G15" s="1498"/>
      <c r="H15" s="1498"/>
    </row>
    <row customHeight="1" ht="63">
      <c r="A16" s="1358" t="s">
        <v>2114</v>
      </c>
      <c r="B16" s="1358"/>
      <c r="C16" s="1358" t="s">
        <v>2115</v>
      </c>
      <c r="D16" s="1358"/>
      <c r="E16" s="1358"/>
      <c r="F16" s="1498"/>
      <c r="G16" s="1498"/>
      <c r="H16" s="1498"/>
    </row>
    <row customHeight="1" ht="54">
      <c r="A17" s="1358" t="s">
        <v>2116</v>
      </c>
      <c r="B17" s="1358"/>
      <c r="C17" s="1496" t="s">
        <v>2117</v>
      </c>
      <c r="D17" s="1358"/>
      <c r="E17" s="1358"/>
      <c r="F17" s="1498"/>
      <c r="G17" s="1498"/>
      <c r="H17" s="1498"/>
    </row>
    <row customHeight="1" ht="27">
      <c r="A18" s="1358" t="s">
        <v>2118</v>
      </c>
      <c r="B18" s="1358"/>
      <c r="C18" s="1496" t="s">
        <v>2119</v>
      </c>
      <c r="D18" s="1358"/>
      <c r="E18" s="1358"/>
      <c r="F18" s="1498"/>
      <c r="G18" s="1498"/>
      <c r="H18" s="1498"/>
    </row>
    <row customHeight="1" ht="54">
      <c r="A19" s="1358" t="s">
        <v>2120</v>
      </c>
      <c r="B19" s="1358"/>
      <c r="C19" s="1496" t="s">
        <v>2121</v>
      </c>
      <c r="D19" s="1358"/>
      <c r="E19" s="1358"/>
      <c r="F19" s="1498"/>
      <c r="G19" s="1498"/>
      <c r="H19" s="1498"/>
    </row>
    <row customHeight="1" ht="36">
      <c r="A20" s="1358" t="s">
        <v>2122</v>
      </c>
      <c r="B20" s="1358"/>
      <c r="C20" s="1496" t="s">
        <v>2123</v>
      </c>
      <c r="D20" s="1358"/>
      <c r="E20" s="1358"/>
      <c r="F20" s="1498"/>
      <c r="G20" s="1498"/>
      <c r="H20" s="1498"/>
    </row>
    <row customHeight="1" ht="36">
      <c r="A21" s="1358" t="s">
        <v>2124</v>
      </c>
      <c r="B21" s="1358"/>
      <c r="C21" s="1496" t="s">
        <v>2125</v>
      </c>
      <c r="D21" s="1358"/>
      <c r="E21" s="1358"/>
      <c r="F21" s="1498"/>
      <c r="G21" s="1498"/>
      <c r="H21" s="1498"/>
    </row>
    <row customHeight="1" ht="27">
      <c r="A22" s="1358" t="s">
        <v>2126</v>
      </c>
      <c r="B22" s="1358"/>
      <c r="C22" s="1496" t="s">
        <v>2127</v>
      </c>
      <c r="D22" s="1358"/>
      <c r="E22" s="1358"/>
      <c r="F22" s="1498"/>
      <c r="G22" s="1498"/>
      <c r="H22" s="1498"/>
    </row>
    <row customHeight="1" ht="36">
      <c r="A23" s="1358" t="s">
        <v>2128</v>
      </c>
      <c r="B23" s="1358"/>
      <c r="C23" s="1496" t="s">
        <v>2129</v>
      </c>
      <c r="D23" s="1358"/>
      <c r="E23" s="1358"/>
      <c r="F23" s="1498"/>
      <c r="G23" s="1498"/>
      <c r="H23" s="1498"/>
    </row>
    <row customHeight="1" ht="28.5">
      <c r="A24" s="1358" t="s">
        <v>2130</v>
      </c>
      <c r="B24" s="1358"/>
      <c r="C24" s="1496" t="s">
        <v>2131</v>
      </c>
      <c r="D24" s="1358"/>
      <c r="E24" s="1358"/>
      <c r="F24" s="1498"/>
      <c r="G24" s="1498"/>
      <c r="H24" s="1498"/>
    </row>
    <row customHeight="1" ht="36">
      <c r="A25" s="1358" t="s">
        <v>2132</v>
      </c>
      <c r="B25" s="1358"/>
      <c r="C25" s="1496" t="s">
        <v>2133</v>
      </c>
      <c r="D25" s="1358"/>
      <c r="E25" s="1358"/>
      <c r="F25" s="1498"/>
      <c r="G25" s="1498"/>
      <c r="H25" s="1498"/>
    </row>
    <row customHeight="1" ht="27">
      <c r="A26" s="1358" t="s">
        <v>2134</v>
      </c>
      <c r="B26" s="1358"/>
      <c r="C26" s="1496" t="s">
        <v>2135</v>
      </c>
      <c r="D26" s="1358"/>
      <c r="E26" s="1358"/>
      <c r="F26" s="1498"/>
      <c r="G26" s="1498"/>
      <c r="H26" s="1498"/>
    </row>
    <row customHeight="1" ht="36">
      <c r="A27" s="1358" t="s">
        <v>2136</v>
      </c>
      <c r="B27" s="1358"/>
      <c r="C27" s="1496" t="s">
        <v>2137</v>
      </c>
      <c r="D27" s="1358"/>
      <c r="E27" s="1358"/>
      <c r="F27" s="1498"/>
      <c r="G27" s="1498"/>
      <c r="H27" s="1498"/>
    </row>
    <row customHeight="1" ht="28.5">
      <c r="A28" s="1358" t="s">
        <v>2138</v>
      </c>
      <c r="B28" s="1358"/>
      <c r="C28" s="1496" t="s">
        <v>2139</v>
      </c>
      <c r="D28" s="1358"/>
      <c r="E28" s="1358"/>
      <c r="F28" s="1498"/>
      <c r="G28" s="1498"/>
      <c r="H28" s="1498"/>
    </row>
    <row customHeight="1" ht="126">
      <c r="A29" s="1358" t="s">
        <v>2140</v>
      </c>
      <c r="B29" s="1358" t="s">
        <v>1712</v>
      </c>
      <c r="C29" s="149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358" t="s">
        <v>2141</v>
      </c>
      <c r="E29" s="13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498"/>
      <c r="G29" s="1498"/>
      <c r="H29" s="1358" t="s">
        <v>2142</v>
      </c>
    </row>
    <row customHeight="1" ht="36">
      <c r="A30" s="1358" t="s">
        <v>2143</v>
      </c>
      <c r="B30" s="1358"/>
      <c r="C30" s="149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358" t="s">
        <v>2144</v>
      </c>
      <c r="E30" s="13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498"/>
      <c r="G30" s="1498"/>
      <c r="H30" s="1498"/>
    </row>
    <row customHeight="1" ht="54">
      <c r="A31" s="1358" t="s">
        <v>2145</v>
      </c>
      <c r="B31" s="1358"/>
      <c r="C31" s="1496" t="str">
        <f>IF(TEMPLATE_SPHERE="HEAT",D31,IF(TEMPLATE_SPHERE="TKO",H31,E31))</f>
        <v>Форма 1. Информация об организации, осуществляющей холодное водоснабжение (общая информация)</v>
      </c>
      <c r="D31" s="1358" t="s">
        <v>2146</v>
      </c>
      <c r="E31" s="136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498"/>
      <c r="G31" s="1498"/>
      <c r="H31" s="1498"/>
    </row>
    <row customHeight="1" ht="198">
      <c r="A32" s="1358" t="s">
        <v>2147</v>
      </c>
      <c r="B32" s="1358"/>
      <c r="C32" s="1496" t="str">
        <f>IF(TEMPLATE_SPHERE="HEAT",D32,IF(TEMPLATE_SPHERE="TKO",H32,E32))</f>
        <v>Форма 7. Информация об инвестиционных программах организации холодного водоснабжения и отчетах об их исполнении</v>
      </c>
      <c r="D32" s="1358" t="s">
        <v>2148</v>
      </c>
      <c r="E32" s="13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498"/>
      <c r="G32" s="1498"/>
      <c r="H32" s="1358" t="s">
        <v>2149</v>
      </c>
    </row>
    <row customHeight="1" ht="9">
      <c r="A33" s="1358"/>
      <c r="B33" s="1358"/>
      <c r="C33" s="1496"/>
      <c r="D33" s="1358"/>
      <c r="E33" s="1358"/>
      <c r="F33" s="1498"/>
      <c r="G33" s="1498"/>
      <c r="H33" s="1498"/>
    </row>
    <row customHeight="1" ht="9">
      <c r="A34" s="1358"/>
      <c r="B34" s="1358" t="s">
        <v>1648</v>
      </c>
      <c r="C34" s="1496">
        <f>INDEX(TEMPLATE_NAME_FORM_LIST,B34,MATCH(TEMPLATE_SPHERE,TEMPLATE_SPHERE_LIST,0))</f>
        <v>0</v>
      </c>
      <c r="D34" s="1358"/>
      <c r="E34" s="1358"/>
      <c r="F34" s="1498"/>
      <c r="G34" s="1498"/>
      <c r="H34" s="149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1C3A773-F79C-0D2F-B03D-DF130632513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61463" width="9.140625"/>
    <col min="3" max="7" style="61507" width="8.00390625" customWidth="1"/>
    <col min="8" max="12" style="61507" width="8.57421875" customWidth="1"/>
    <col min="13" max="14" style="61507" width="27.7109375" customWidth="1"/>
    <col min="15" max="19" style="61507" width="5.140625" customWidth="1"/>
    <col min="20" max="24" style="61507" width="27.7109375" customWidth="1"/>
    <col min="25" max="25" style="61508" width="1.8515625" customWidth="1"/>
    <col min="26" max="26" style="61463" width="27.7109375" customWidth="1"/>
    <col min="27" max="27" style="61509" width="27.7109375" customWidth="1"/>
    <col min="28" max="29" style="61463" width="27.7109375" customWidth="1"/>
    <col min="30" max="30" style="61463" width="3.8515625" customWidth="1"/>
    <col min="31" max="34" style="61463" width="9.140625"/>
  </cols>
  <sheetData>
    <row s="61465" customFormat="1" customHeight="1" ht="18">
      <c r="A1" s="1410"/>
      <c r="B1" s="1410"/>
      <c r="C1" s="1410" t="s">
        <v>2150</v>
      </c>
      <c r="D1" s="1410"/>
      <c r="E1" s="1410"/>
      <c r="F1" s="1410"/>
      <c r="G1" s="1410"/>
      <c r="H1" s="1410" t="s">
        <v>2151</v>
      </c>
      <c r="I1" s="1410"/>
      <c r="J1" s="1410"/>
      <c r="K1" s="1410"/>
      <c r="L1" s="1410"/>
      <c r="M1" s="1410" t="s">
        <v>2152</v>
      </c>
      <c r="N1" s="1410" t="s">
        <v>2153</v>
      </c>
      <c r="O1" s="3104" t="s">
        <v>2154</v>
      </c>
      <c r="P1" s="3104"/>
      <c r="Q1" s="3104"/>
      <c r="R1" s="3104"/>
      <c r="S1" s="3104"/>
      <c r="T1" s="3104" t="s">
        <v>2152</v>
      </c>
      <c r="U1" s="3104"/>
      <c r="V1" s="3104"/>
      <c r="W1" s="3104"/>
      <c r="X1" s="3104"/>
      <c r="Y1" s="1511"/>
      <c r="Z1" s="3104" t="s">
        <v>2155</v>
      </c>
      <c r="AA1" s="3104"/>
      <c r="AB1" s="3104"/>
      <c r="AC1" s="3104"/>
      <c r="AD1" s="3104"/>
    </row>
    <row customHeight="1" ht="18">
      <c r="A2" s="1358"/>
      <c r="B2" s="1358"/>
      <c r="C2" s="1353" t="s">
        <v>945</v>
      </c>
      <c r="D2" s="1353" t="s">
        <v>991</v>
      </c>
      <c r="E2" s="1353" t="s">
        <v>1044</v>
      </c>
      <c r="F2" s="1353" t="s">
        <v>1031</v>
      </c>
      <c r="G2" s="1353" t="s">
        <v>1759</v>
      </c>
      <c r="H2" s="1355"/>
      <c r="I2" s="1355"/>
      <c r="J2" s="1355"/>
      <c r="K2" s="1355"/>
      <c r="L2" s="1355"/>
      <c r="M2" s="1355"/>
      <c r="N2" s="1355"/>
      <c r="O2" s="1353" t="s">
        <v>945</v>
      </c>
      <c r="P2" s="1353" t="s">
        <v>991</v>
      </c>
      <c r="Q2" s="1353" t="s">
        <v>1031</v>
      </c>
      <c r="R2" s="1353" t="s">
        <v>1044</v>
      </c>
      <c r="S2" s="1353" t="s">
        <v>1759</v>
      </c>
      <c r="T2" s="1353" t="s">
        <v>945</v>
      </c>
      <c r="U2" s="1353" t="s">
        <v>991</v>
      </c>
      <c r="V2" s="1353" t="s">
        <v>1031</v>
      </c>
      <c r="W2" s="1353" t="s">
        <v>1044</v>
      </c>
      <c r="X2" s="1353" t="s">
        <v>1759</v>
      </c>
      <c r="Y2" s="1353"/>
      <c r="Z2" s="1353" t="s">
        <v>945</v>
      </c>
      <c r="AA2" s="1362" t="s">
        <v>991</v>
      </c>
      <c r="AB2" s="1353" t="s">
        <v>1031</v>
      </c>
      <c r="AC2" s="1353" t="s">
        <v>1044</v>
      </c>
      <c r="AD2" s="1353" t="s">
        <v>1759</v>
      </c>
    </row>
    <row customHeight="1" ht="162">
      <c r="A3" s="1357" t="s">
        <v>26</v>
      </c>
      <c r="B3" s="1357"/>
      <c r="C3" s="3108" t="s">
        <v>2156</v>
      </c>
      <c r="D3" s="3109"/>
      <c r="E3" s="3109"/>
      <c r="F3" s="3110"/>
      <c r="G3" s="1355"/>
      <c r="H3" s="1355"/>
      <c r="I3" s="1355"/>
      <c r="J3" s="1355"/>
      <c r="K3" s="1355"/>
      <c r="L3" s="1355"/>
      <c r="M3" s="1355"/>
      <c r="N3" s="135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355"/>
      <c r="P3" s="1355"/>
      <c r="Q3" s="1355"/>
      <c r="R3" s="1355"/>
      <c r="S3" s="1355"/>
      <c r="T3" s="1355"/>
      <c r="U3" s="1355"/>
      <c r="V3" s="1355"/>
      <c r="W3" s="1355"/>
      <c r="X3" s="1355"/>
      <c r="Y3" s="1512"/>
      <c r="Z3" s="1358" t="s">
        <v>2157</v>
      </c>
      <c r="AA3" s="1355" t="s">
        <v>2158</v>
      </c>
      <c r="AB3" s="1358" t="s">
        <v>2159</v>
      </c>
      <c r="AC3" s="1358" t="s">
        <v>2160</v>
      </c>
      <c r="AD3" s="1358"/>
      <c r="AG3" s="1358"/>
      <c r="AH3" s="1358"/>
    </row>
    <row customHeight="1" ht="9">
      <c r="A4" s="1357"/>
      <c r="B4" s="1357"/>
      <c r="C4" s="1355"/>
      <c r="D4" s="1355"/>
      <c r="E4" s="1355"/>
      <c r="F4" s="1355"/>
      <c r="G4" s="1355"/>
      <c r="H4" s="1355"/>
      <c r="I4" s="1355"/>
      <c r="J4" s="1355"/>
      <c r="K4" s="1355"/>
      <c r="L4" s="1355"/>
      <c r="M4" s="1355"/>
      <c r="N4" s="1355"/>
      <c r="O4" s="1355"/>
      <c r="P4" s="1355"/>
      <c r="Q4" s="1355"/>
      <c r="R4" s="1355"/>
      <c r="S4" s="1355"/>
      <c r="T4" s="1355"/>
      <c r="U4" s="1355"/>
      <c r="V4" s="1355"/>
      <c r="W4" s="1355"/>
      <c r="X4" s="1355"/>
      <c r="Y4" s="1512"/>
      <c r="Z4" s="1358"/>
      <c r="AA4" s="1361"/>
      <c r="AB4" s="1358"/>
      <c r="AC4" s="1358"/>
      <c r="AD4" s="1358"/>
    </row>
    <row customHeight="1" ht="9">
      <c r="A5" s="1357"/>
      <c r="B5" s="1357"/>
      <c r="C5" s="1355"/>
      <c r="D5" s="1355"/>
      <c r="E5" s="1355"/>
      <c r="F5" s="1355"/>
      <c r="G5" s="1355"/>
      <c r="H5" s="1355"/>
      <c r="I5" s="1355"/>
      <c r="J5" s="1355"/>
      <c r="K5" s="1355"/>
      <c r="L5" s="1355"/>
      <c r="M5" s="1355"/>
      <c r="N5" s="1355"/>
      <c r="O5" s="1355"/>
      <c r="P5" s="1355"/>
      <c r="Q5" s="1355"/>
      <c r="R5" s="1355"/>
      <c r="S5" s="1355"/>
      <c r="T5" s="1355"/>
      <c r="U5" s="1355"/>
      <c r="V5" s="1355"/>
      <c r="W5" s="1355"/>
      <c r="X5" s="1355"/>
      <c r="Y5" s="1512"/>
      <c r="Z5" s="1358"/>
      <c r="AA5" s="1361"/>
      <c r="AB5" s="1358"/>
      <c r="AC5" s="1358"/>
      <c r="AD5" s="1358"/>
    </row>
    <row customHeight="1" ht="9">
      <c r="A6" s="1357"/>
      <c r="B6" s="1357"/>
      <c r="C6" s="1355"/>
      <c r="D6" s="1355"/>
      <c r="E6" s="1355"/>
      <c r="F6" s="1355"/>
      <c r="G6" s="1355"/>
      <c r="H6" s="1355"/>
      <c r="I6" s="1355"/>
      <c r="J6" s="1355"/>
      <c r="K6" s="1355"/>
      <c r="L6" s="1355"/>
      <c r="M6" s="1355"/>
      <c r="N6" s="1355"/>
      <c r="O6" s="1355"/>
      <c r="P6" s="1355"/>
      <c r="Q6" s="1355"/>
      <c r="R6" s="1355"/>
      <c r="S6" s="1355"/>
      <c r="T6" s="1355"/>
      <c r="U6" s="1355"/>
      <c r="V6" s="1355"/>
      <c r="W6" s="1355"/>
      <c r="X6" s="1355"/>
      <c r="Y6" s="1512"/>
      <c r="Z6" s="1358"/>
      <c r="AA6" s="1361"/>
      <c r="AB6" s="1358"/>
      <c r="AC6" s="1358"/>
      <c r="AD6" s="1358"/>
    </row>
    <row customHeight="1" ht="9">
      <c r="A7" s="1357"/>
      <c r="B7" s="1357"/>
      <c r="C7" s="1355"/>
      <c r="D7" s="1355"/>
      <c r="E7" s="1355"/>
      <c r="F7" s="1355"/>
      <c r="G7" s="1355"/>
      <c r="H7" s="1355"/>
      <c r="I7" s="1355"/>
      <c r="J7" s="1355"/>
      <c r="K7" s="1355"/>
      <c r="L7" s="1355"/>
      <c r="M7" s="1355"/>
      <c r="N7" s="1355"/>
      <c r="O7" s="1355"/>
      <c r="P7" s="1355"/>
      <c r="Q7" s="1355"/>
      <c r="R7" s="1355"/>
      <c r="S7" s="1355"/>
      <c r="T7" s="1355"/>
      <c r="U7" s="1355"/>
      <c r="V7" s="1355"/>
      <c r="W7" s="1355"/>
      <c r="X7" s="1355"/>
      <c r="Y7" s="1512"/>
      <c r="Z7" s="1358"/>
      <c r="AA7" s="1361"/>
      <c r="AB7" s="1358"/>
      <c r="AC7" s="1358"/>
      <c r="AD7" s="1358"/>
    </row>
    <row customHeight="1" ht="9">
      <c r="A8" s="1357"/>
      <c r="B8" s="1357"/>
      <c r="C8" s="1355"/>
      <c r="D8" s="1355"/>
      <c r="E8" s="1355"/>
      <c r="F8" s="1355"/>
      <c r="G8" s="1355"/>
      <c r="H8" s="1355"/>
      <c r="I8" s="1355"/>
      <c r="J8" s="1355"/>
      <c r="K8" s="1355"/>
      <c r="L8" s="1355"/>
      <c r="M8" s="1355"/>
      <c r="N8" s="1355"/>
      <c r="O8" s="1355"/>
      <c r="P8" s="1355"/>
      <c r="Q8" s="1355"/>
      <c r="R8" s="1355"/>
      <c r="S8" s="1355"/>
      <c r="T8" s="1355"/>
      <c r="U8" s="1355"/>
      <c r="V8" s="1355"/>
      <c r="W8" s="1355"/>
      <c r="X8" s="1355"/>
      <c r="Y8" s="1512"/>
      <c r="Z8" s="1358"/>
      <c r="AA8" s="1361"/>
      <c r="AB8" s="1358"/>
      <c r="AC8" s="1358"/>
      <c r="AD8" s="1358"/>
    </row>
    <row customHeight="1" ht="9">
      <c r="A9" s="1357"/>
      <c r="B9" s="1357"/>
      <c r="C9" s="1355"/>
      <c r="D9" s="1355"/>
      <c r="E9" s="1355"/>
      <c r="F9" s="1355"/>
      <c r="G9" s="1355"/>
      <c r="H9" s="1355"/>
      <c r="I9" s="1355"/>
      <c r="J9" s="1355"/>
      <c r="K9" s="1355"/>
      <c r="L9" s="1355"/>
      <c r="M9" s="1355"/>
      <c r="N9" s="1355"/>
      <c r="O9" s="1355"/>
      <c r="P9" s="1355"/>
      <c r="Q9" s="1355"/>
      <c r="R9" s="1355"/>
      <c r="S9" s="1355"/>
      <c r="T9" s="1355"/>
      <c r="U9" s="1355"/>
      <c r="V9" s="1355"/>
      <c r="W9" s="1355"/>
      <c r="X9" s="1355"/>
      <c r="Y9" s="1512"/>
      <c r="Z9" s="1358"/>
      <c r="AA9" s="1361"/>
      <c r="AB9" s="1358"/>
      <c r="AC9" s="1358"/>
      <c r="AD9" s="1358"/>
    </row>
    <row customHeight="1" ht="9">
      <c r="A10" s="1411"/>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row>
    <row customHeight="1" ht="45">
      <c r="A11" s="3105" t="s">
        <v>33</v>
      </c>
      <c r="B11" s="1411">
        <v>1</v>
      </c>
      <c r="C11" s="3111" t="s">
        <v>1699</v>
      </c>
      <c r="D11" s="3111" t="s">
        <v>1695</v>
      </c>
      <c r="E11" s="3111" t="s">
        <v>1791</v>
      </c>
      <c r="F11" s="3111" t="s">
        <v>2161</v>
      </c>
      <c r="G11" s="3111"/>
      <c r="H11" s="1410" t="s">
        <v>2162</v>
      </c>
      <c r="I11" s="1410"/>
      <c r="J11" s="1410"/>
      <c r="K11" s="1410"/>
      <c r="L11" s="1410"/>
      <c r="M11" s="1356" t="str">
        <f>IF(TEMPLATE_SPHERE="HEAT",T11,U11)</f>
        <v>Количество поданных заявлений </v>
      </c>
      <c r="N11" s="135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355"/>
      <c r="P11" s="1355"/>
      <c r="Q11" s="1355"/>
      <c r="R11" s="1355"/>
      <c r="S11" s="1355"/>
      <c r="T11" s="1355" t="s">
        <v>2163</v>
      </c>
      <c r="U11" s="1355" t="s">
        <v>2164</v>
      </c>
      <c r="V11" s="1355"/>
      <c r="W11" s="1355"/>
      <c r="X11" s="1355"/>
      <c r="Y11" s="1512"/>
      <c r="Z11" s="1358" t="s">
        <v>2165</v>
      </c>
      <c r="AA11" s="13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358"/>
      <c r="AC11" s="1358"/>
      <c r="AD11" s="1358"/>
    </row>
    <row customHeight="1" ht="45">
      <c r="A12" s="3105"/>
      <c r="B12" s="1411">
        <v>2</v>
      </c>
      <c r="C12" s="3112"/>
      <c r="D12" s="3112"/>
      <c r="E12" s="3112"/>
      <c r="F12" s="3112"/>
      <c r="G12" s="3112"/>
      <c r="H12" s="1410" t="s">
        <v>2166</v>
      </c>
      <c r="I12" s="1410"/>
      <c r="J12" s="1410"/>
      <c r="K12" s="1410"/>
      <c r="L12" s="1410"/>
      <c r="M12" s="1356" t="str">
        <f>IF(TEMPLATE_SPHERE="HEAT",T12,U12)</f>
        <v>Количество исполненных заявлений </v>
      </c>
      <c r="N12" s="135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355"/>
      <c r="P12" s="1355"/>
      <c r="Q12" s="1355"/>
      <c r="R12" s="1355"/>
      <c r="S12" s="1355"/>
      <c r="T12" s="1355" t="s">
        <v>2167</v>
      </c>
      <c r="U12" s="1355" t="s">
        <v>2168</v>
      </c>
      <c r="V12" s="1355"/>
      <c r="W12" s="1355"/>
      <c r="X12" s="1355"/>
      <c r="Y12" s="1512"/>
      <c r="Z12" s="1358" t="s">
        <v>2169</v>
      </c>
      <c r="AA12" s="13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358"/>
      <c r="AC12" s="1358"/>
      <c r="AD12" s="1358"/>
    </row>
    <row customHeight="1" ht="72">
      <c r="A13" s="3105"/>
      <c r="B13" s="1411">
        <v>3</v>
      </c>
      <c r="C13" s="3112"/>
      <c r="D13" s="3112"/>
      <c r="E13" s="3112"/>
      <c r="F13" s="3112"/>
      <c r="G13" s="3112"/>
      <c r="H13" s="3104" t="s">
        <v>2170</v>
      </c>
      <c r="I13" s="1410"/>
      <c r="J13" s="1410"/>
      <c r="K13" s="1410"/>
      <c r="L13" s="1410"/>
      <c r="M13" s="135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35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355"/>
      <c r="P13" s="1356"/>
      <c r="Q13" s="1356"/>
      <c r="R13" s="1356"/>
      <c r="S13" s="1355"/>
      <c r="T13" s="1355" t="s">
        <v>2171</v>
      </c>
      <c r="U13" s="1356" t="s">
        <v>2172</v>
      </c>
      <c r="V13" s="1356"/>
      <c r="W13" s="1356"/>
      <c r="X13" s="1355"/>
      <c r="Y13" s="1512"/>
      <c r="Z13" s="1358" t="s">
        <v>2173</v>
      </c>
      <c r="AA13" s="13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358"/>
      <c r="AC13" s="1358"/>
      <c r="AD13" s="1358"/>
    </row>
    <row customHeight="1" ht="45">
      <c r="A14" s="3105"/>
      <c r="B14" s="1411">
        <v>4</v>
      </c>
      <c r="C14" s="3112"/>
      <c r="D14" s="3112"/>
      <c r="E14" s="3112"/>
      <c r="F14" s="3112"/>
      <c r="G14" s="3112"/>
      <c r="H14" s="3104"/>
      <c r="I14" s="1413"/>
      <c r="J14" s="1413"/>
      <c r="K14" s="1413"/>
      <c r="L14" s="1413"/>
      <c r="M14" s="135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3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55"/>
      <c r="P14" s="1356"/>
      <c r="Q14" s="1356"/>
      <c r="R14" s="1356"/>
      <c r="S14" s="1355"/>
      <c r="T14" s="1355" t="s">
        <v>2174</v>
      </c>
      <c r="U14" s="13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356"/>
      <c r="W14" s="1356"/>
      <c r="X14" s="1355"/>
      <c r="Y14" s="1512"/>
      <c r="Z14" s="1358" t="s">
        <v>2175</v>
      </c>
      <c r="AA14" s="1361" t="s">
        <v>2175</v>
      </c>
      <c r="AB14" s="1358"/>
      <c r="AC14" s="1358"/>
      <c r="AD14" s="1358"/>
    </row>
    <row customHeight="1" ht="108">
      <c r="A15" s="3105"/>
      <c r="B15" s="1411">
        <v>5</v>
      </c>
      <c r="C15" s="3112"/>
      <c r="D15" s="3112"/>
      <c r="E15" s="3112"/>
      <c r="F15" s="3112"/>
      <c r="G15" s="3112"/>
      <c r="H15" s="3106" t="s">
        <v>2176</v>
      </c>
      <c r="I15" s="1412"/>
      <c r="J15" s="1412"/>
      <c r="K15" s="1412"/>
      <c r="L15" s="1412"/>
      <c r="M15" s="136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360"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355"/>
      <c r="P15" s="1356"/>
      <c r="Q15" s="1356"/>
      <c r="R15" s="1356"/>
      <c r="S15" s="1355"/>
      <c r="T15" s="1355" t="s">
        <v>2177</v>
      </c>
      <c r="U15" s="13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356"/>
      <c r="W15" s="1356"/>
      <c r="X15" s="1355"/>
      <c r="Y15" s="1512"/>
      <c r="Z15" s="1358" t="s">
        <v>2178</v>
      </c>
      <c r="AA15" s="13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358"/>
      <c r="AC15" s="1358"/>
      <c r="AD15" s="1358"/>
    </row>
    <row customHeight="1" ht="108">
      <c r="A16" s="1411"/>
      <c r="B16" s="1411">
        <v>6</v>
      </c>
      <c r="C16" s="3113"/>
      <c r="D16" s="3113"/>
      <c r="E16" s="3113"/>
      <c r="F16" s="3113"/>
      <c r="G16" s="3113"/>
      <c r="H16" s="3107"/>
      <c r="I16" s="1474"/>
      <c r="J16" s="1474"/>
      <c r="K16" s="1474"/>
      <c r="L16" s="1474"/>
      <c r="M16" s="1404"/>
      <c r="N16" s="1360"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355"/>
      <c r="P16" s="1356"/>
      <c r="Q16" s="1356"/>
      <c r="R16" s="1356"/>
      <c r="S16" s="1355"/>
      <c r="T16" s="1355"/>
      <c r="U16" s="1356"/>
      <c r="V16" s="1356"/>
      <c r="W16" s="1356"/>
      <c r="X16" s="1355"/>
      <c r="Y16" s="1512"/>
      <c r="Z16" s="1358" t="s">
        <v>2178</v>
      </c>
      <c r="AA16" s="13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358"/>
      <c r="AC16" s="1358"/>
      <c r="AD16" s="1358"/>
    </row>
    <row customHeight="1" ht="9">
      <c r="A17" s="1411"/>
      <c r="B17" s="1411"/>
      <c r="C17" s="1411">
        <v>22</v>
      </c>
      <c r="D17" s="1411">
        <v>21</v>
      </c>
      <c r="E17" s="1411">
        <v>42</v>
      </c>
      <c r="F17" s="1411">
        <v>63</v>
      </c>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row>
    <row customHeight="1" ht="27">
      <c r="A18" s="1357" t="s">
        <v>1794</v>
      </c>
      <c r="B18" s="1411">
        <v>1</v>
      </c>
      <c r="C18" s="1355" t="s">
        <v>2162</v>
      </c>
      <c r="D18" s="1479" t="s">
        <v>2162</v>
      </c>
      <c r="E18" s="1355" t="s">
        <v>2162</v>
      </c>
      <c r="F18" s="1355" t="s">
        <v>2162</v>
      </c>
      <c r="G18" s="1355"/>
      <c r="H18" s="1514"/>
      <c r="I18" s="1517">
        <f>INDEX(TEMPLATE_NUMBER_POINT_FHD,B18,MATCH(TEMPLATE_SPHERE,TEMPLATE_SPHERE_LIST_FOR_NOTE,0))</f>
        <v>1</v>
      </c>
      <c r="J18" s="1517" t="str">
        <f>INDEX(TEMPLATE_DATA_POINT_FHD,B18,MATCH(TEMPLATE_SPHERE,TEMPLATE_SPHERE_LIST_FOR_NOTE,0))</f>
        <v>Выручка от регулируемых видов деятельности в сфере холодного водоснабжения</v>
      </c>
      <c r="K18" s="1517" t="str">
        <f>INDEX(TEMPLATE_NOTE_POINT_FHD,B18,MATCH(TEMPLATE_SPHERE,TEMPLATE_SPHERE_LIST_FOR_NOTE,0))</f>
        <v>Указывается выручка с распределением по видам деятельности.</v>
      </c>
      <c r="L18" s="1356">
        <f>IF(I18=0,"",I18)</f>
        <v>1</v>
      </c>
      <c r="M18" s="1356" t="str">
        <f>IF(J18=0,"",J18)</f>
        <v>Выручка от регулируемых видов деятельности в сфере холодного водоснабжения</v>
      </c>
      <c r="N18" s="1356" t="str">
        <f>IF(K18=0,"",K18)</f>
        <v>Указывается выручка с распределением по видам деятельности.</v>
      </c>
      <c r="O18" s="1469">
        <v>1</v>
      </c>
      <c r="P18" s="1469">
        <v>1</v>
      </c>
      <c r="Q18" s="1469">
        <v>1</v>
      </c>
      <c r="R18" s="1469">
        <v>1</v>
      </c>
      <c r="S18" s="1469"/>
      <c r="T18" s="1476" t="s">
        <v>2179</v>
      </c>
      <c r="U18" s="1358" t="s">
        <v>2180</v>
      </c>
      <c r="V18" s="1358" t="s">
        <v>2181</v>
      </c>
      <c r="W18" s="1358" t="s">
        <v>2182</v>
      </c>
      <c r="X18" s="1355"/>
      <c r="Y18" s="1512"/>
      <c r="Z18" s="1358" t="s">
        <v>2183</v>
      </c>
      <c r="AA18" s="1361" t="s">
        <v>2184</v>
      </c>
      <c r="AB18" s="1361" t="s">
        <v>2184</v>
      </c>
      <c r="AC18" s="1361" t="s">
        <v>2184</v>
      </c>
      <c r="AD18" s="1358"/>
    </row>
    <row customHeight="1" ht="36">
      <c r="A19" s="1357"/>
      <c r="B19" s="1411">
        <v>2</v>
      </c>
      <c r="C19" s="1355" t="s">
        <v>2166</v>
      </c>
      <c r="D19" s="1479" t="s">
        <v>2166</v>
      </c>
      <c r="E19" s="1355" t="s">
        <v>2166</v>
      </c>
      <c r="F19" s="1355" t="s">
        <v>2166</v>
      </c>
      <c r="G19" s="1355"/>
      <c r="H19" s="1514"/>
      <c r="I19" s="1517">
        <f>INDEX(TEMPLATE_NUMBER_POINT_FHD,B19,MATCH(TEMPLATE_SPHERE,TEMPLATE_SPHERE_LIST_FOR_NOTE,0))</f>
        <v>2</v>
      </c>
      <c r="J19" s="1517"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517" t="str">
        <f>INDEX(TEMPLATE_NOTE_POINT_FHD,B19,MATCH(TEMPLATE_SPHERE,TEMPLATE_SPHERE_LIST_FOR_NOTE,0))</f>
        <v>Указывается суммарная себестоимость производимых товаров.</v>
      </c>
      <c r="L19" s="1356">
        <f>IF(I19=0,"",I19)</f>
        <v>2</v>
      </c>
      <c r="M19" s="1356" t="str">
        <f>IF(J19=0,"",J19)</f>
        <v>Себестоимость производимых товаров (оказываемых услуг) по регулируемым видам деятельности в сфере холодного водоснабжения, включая:</v>
      </c>
      <c r="N19" s="1356" t="str">
        <f>IF(K19=0,"",K19)</f>
        <v>Указывается суммарная себестоимость производимых товаров.</v>
      </c>
      <c r="O19" s="1469">
        <v>2</v>
      </c>
      <c r="P19" s="1469">
        <v>2</v>
      </c>
      <c r="Q19" s="1469">
        <v>2</v>
      </c>
      <c r="R19" s="1469">
        <v>2</v>
      </c>
      <c r="S19" s="1469"/>
      <c r="T19" s="1476" t="s">
        <v>2185</v>
      </c>
      <c r="U19" s="1358" t="s">
        <v>2186</v>
      </c>
      <c r="V19" s="1358" t="s">
        <v>2187</v>
      </c>
      <c r="W19" s="1358" t="s">
        <v>2188</v>
      </c>
      <c r="X19" s="1355"/>
      <c r="Y19" s="1512"/>
      <c r="Z19" s="1358" t="s">
        <v>2189</v>
      </c>
      <c r="AA19" s="1361" t="s">
        <v>2189</v>
      </c>
      <c r="AB19" s="1361" t="s">
        <v>2189</v>
      </c>
      <c r="AC19" s="1361" t="s">
        <v>2189</v>
      </c>
      <c r="AD19" s="1358"/>
    </row>
    <row customHeight="1" ht="27">
      <c r="A20" s="1357"/>
      <c r="B20" s="1411">
        <v>3</v>
      </c>
      <c r="C20" s="1355">
        <v>1</v>
      </c>
      <c r="D20" s="1479"/>
      <c r="E20" s="1355"/>
      <c r="F20" s="1355"/>
      <c r="G20" s="1355"/>
      <c r="H20" s="1514"/>
      <c r="I20" s="1517" t="str">
        <f>INDEX(TEMPLATE_NUMBER_POINT_FHD,B20,MATCH(TEMPLATE_SPHERE,TEMPLATE_SPHERE_LIST_FOR_NOTE,0))</f>
        <v>2.1</v>
      </c>
      <c r="J20" s="1517"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517">
        <f>INDEX(TEMPLATE_NOTE_POINT_FHD,B20,MATCH(TEMPLATE_SPHERE,TEMPLATE_SPHERE_LIST_FOR_NOTE,0))</f>
        <v>0</v>
      </c>
      <c r="L20" s="1356" t="str">
        <f>IF(I20=0,"",I20)</f>
        <v>2.1</v>
      </c>
      <c r="M20" s="1356" t="str">
        <f>IF(J20=0,"",J20)</f>
        <v>Расходы на оплату холодной воды, приобретаемой у других организаций для последующей подачи потребителям</v>
      </c>
      <c r="N20" s="1356" t="str">
        <f>IF(K20=0,"",K20)</f>
        <v/>
      </c>
      <c r="O20" s="1469" t="s">
        <v>846</v>
      </c>
      <c r="P20" s="1469" t="s">
        <v>846</v>
      </c>
      <c r="Q20" s="1469" t="s">
        <v>846</v>
      </c>
      <c r="R20" s="1469" t="s">
        <v>846</v>
      </c>
      <c r="S20" s="1469"/>
      <c r="T20" s="1476" t="s">
        <v>2190</v>
      </c>
      <c r="U20" s="1358" t="s">
        <v>2191</v>
      </c>
      <c r="V20" s="1358" t="s">
        <v>2192</v>
      </c>
      <c r="W20" s="1358" t="s">
        <v>2193</v>
      </c>
      <c r="X20" s="1355"/>
      <c r="Y20" s="1512"/>
      <c r="Z20" s="1358"/>
      <c r="AA20" s="1361"/>
      <c r="AB20" s="1358"/>
      <c r="AC20" s="1358"/>
      <c r="AD20" s="1358"/>
    </row>
    <row customHeight="1" ht="36">
      <c r="A21" s="1357"/>
      <c r="B21" s="1411">
        <v>4</v>
      </c>
      <c r="C21" s="1355">
        <v>2</v>
      </c>
      <c r="D21" s="1479"/>
      <c r="E21" s="1355"/>
      <c r="F21" s="1355"/>
      <c r="G21" s="1355"/>
      <c r="H21" s="1514"/>
      <c r="I21" s="1517">
        <f>INDEX(TEMPLATE_NUMBER_POINT_FHD,B21,MATCH(TEMPLATE_SPHERE,TEMPLATE_SPHERE_LIST_FOR_NOTE,0))</f>
        <v>0</v>
      </c>
      <c r="J21" s="1517">
        <f>INDEX(TEMPLATE_DATA_POINT_FHD,B21,MATCH(TEMPLATE_SPHERE,TEMPLATE_SPHERE_LIST_FOR_NOTE,0))</f>
        <v>0</v>
      </c>
      <c r="K21" s="1517">
        <f>INDEX(TEMPLATE_NOTE_POINT_FHD,B21,MATCH(TEMPLATE_SPHERE,TEMPLATE_SPHERE_LIST_FOR_NOTE,0))</f>
        <v>0</v>
      </c>
      <c r="L21" s="1356" t="str">
        <f>IF(I21=0,"",I21)</f>
        <v/>
      </c>
      <c r="M21" s="1356" t="str">
        <f>IF(J21=0,"",J21)</f>
        <v/>
      </c>
      <c r="N21" s="1356" t="str">
        <f>IF(K21=0,"",K21)</f>
        <v/>
      </c>
      <c r="O21" s="1469" t="s">
        <v>446</v>
      </c>
      <c r="P21" s="1469"/>
      <c r="Q21" s="1469"/>
      <c r="R21" s="1469"/>
      <c r="S21" s="1469"/>
      <c r="T21" s="1476" t="s">
        <v>2194</v>
      </c>
      <c r="U21" s="1358"/>
      <c r="V21" s="1358"/>
      <c r="W21" s="1358"/>
      <c r="X21" s="1355"/>
      <c r="Y21" s="1512"/>
      <c r="Z21" s="1358" t="s">
        <v>2195</v>
      </c>
      <c r="AA21" s="1361"/>
      <c r="AB21" s="1358"/>
      <c r="AC21" s="1358"/>
      <c r="AD21" s="1358"/>
    </row>
    <row customHeight="1" ht="36">
      <c r="A22" s="1357"/>
      <c r="B22" s="1411">
        <v>5</v>
      </c>
      <c r="C22" s="1355">
        <v>3</v>
      </c>
      <c r="D22" s="1479"/>
      <c r="E22" s="1355"/>
      <c r="F22" s="1355"/>
      <c r="G22" s="1403"/>
      <c r="H22" s="1470"/>
      <c r="I22" s="1517">
        <f>INDEX(TEMPLATE_NUMBER_POINT_FHD,B22,MATCH(TEMPLATE_SPHERE,TEMPLATE_SPHERE_LIST_FOR_NOTE,0))</f>
        <v>0</v>
      </c>
      <c r="J22" s="1517">
        <f>INDEX(TEMPLATE_DATA_POINT_FHD,B22,MATCH(TEMPLATE_SPHERE,TEMPLATE_SPHERE_LIST_FOR_NOTE,0))</f>
        <v>0</v>
      </c>
      <c r="K22" s="1517">
        <f>INDEX(TEMPLATE_NOTE_POINT_FHD,B22,MATCH(TEMPLATE_SPHERE,TEMPLATE_SPHERE_LIST_FOR_NOTE,0))</f>
        <v>0</v>
      </c>
      <c r="L22" s="1356" t="str">
        <f>IF(I22=0,"",I22)</f>
        <v/>
      </c>
      <c r="M22" s="1356" t="str">
        <f>IF(J22=0,"",J22)</f>
        <v/>
      </c>
      <c r="N22" s="1356" t="str">
        <f>IF(K22=0,"",K22)</f>
        <v/>
      </c>
      <c r="O22" s="1469"/>
      <c r="P22" s="1469"/>
      <c r="Q22" s="1469" t="s">
        <v>446</v>
      </c>
      <c r="R22" s="1469"/>
      <c r="S22" s="1469"/>
      <c r="T22" s="1476"/>
      <c r="U22" s="1358"/>
      <c r="V22" s="1358" t="s">
        <v>2196</v>
      </c>
      <c r="W22" s="1358"/>
      <c r="X22" s="1355"/>
      <c r="Y22" s="1512"/>
      <c r="Z22" s="1358"/>
      <c r="AA22" s="1361"/>
      <c r="AB22" s="1358"/>
      <c r="AC22" s="1358"/>
      <c r="AD22" s="1358"/>
    </row>
    <row customHeight="1" ht="27">
      <c r="A23" s="1357"/>
      <c r="B23" s="1411">
        <v>6</v>
      </c>
      <c r="C23" s="1355">
        <v>4</v>
      </c>
      <c r="D23" s="1479"/>
      <c r="E23" s="1355"/>
      <c r="F23" s="1355"/>
      <c r="G23" s="1403"/>
      <c r="H23" s="1470"/>
      <c r="I23" s="1517">
        <f>INDEX(TEMPLATE_NUMBER_POINT_FHD,B23,MATCH(TEMPLATE_SPHERE,TEMPLATE_SPHERE_LIST_FOR_NOTE,0))</f>
        <v>0</v>
      </c>
      <c r="J23" s="1517">
        <f>INDEX(TEMPLATE_DATA_POINT_FHD,B23,MATCH(TEMPLATE_SPHERE,TEMPLATE_SPHERE_LIST_FOR_NOTE,0))</f>
        <v>0</v>
      </c>
      <c r="K23" s="1517">
        <f>INDEX(TEMPLATE_NOTE_POINT_FHD,B23,MATCH(TEMPLATE_SPHERE,TEMPLATE_SPHERE_LIST_FOR_NOTE,0))</f>
        <v>0</v>
      </c>
      <c r="L23" s="1356" t="str">
        <f>IF(I23=0,"",I23)</f>
        <v/>
      </c>
      <c r="M23" s="1356" t="str">
        <f>IF(J23=0,"",J23)</f>
        <v/>
      </c>
      <c r="N23" s="1356" t="str">
        <f>IF(K23=0,"",K23)</f>
        <v/>
      </c>
      <c r="O23" s="1469"/>
      <c r="P23" s="1469"/>
      <c r="Q23" s="1469" t="s">
        <v>449</v>
      </c>
      <c r="R23" s="1469"/>
      <c r="S23" s="1469"/>
      <c r="T23" s="1476"/>
      <c r="U23" s="1358"/>
      <c r="V23" s="1358" t="s">
        <v>2197</v>
      </c>
      <c r="W23" s="1358"/>
      <c r="X23" s="1355"/>
      <c r="Y23" s="1512"/>
      <c r="Z23" s="1358"/>
      <c r="AA23" s="1361"/>
      <c r="AB23" s="1358"/>
      <c r="AC23" s="1358"/>
      <c r="AD23" s="1358"/>
    </row>
    <row customHeight="1" ht="36">
      <c r="A24" s="1357"/>
      <c r="B24" s="1411">
        <v>7</v>
      </c>
      <c r="C24" s="1355">
        <v>5</v>
      </c>
      <c r="D24" s="1479"/>
      <c r="E24" s="1355"/>
      <c r="F24" s="1355"/>
      <c r="G24" s="1403"/>
      <c r="H24" s="1470"/>
      <c r="I24" s="1517">
        <f>INDEX(TEMPLATE_NUMBER_POINT_FHD,B24,MATCH(TEMPLATE_SPHERE,TEMPLATE_SPHERE_LIST_FOR_NOTE,0))</f>
        <v>0</v>
      </c>
      <c r="J24" s="1517">
        <f>INDEX(TEMPLATE_DATA_POINT_FHD,B24,MATCH(TEMPLATE_SPHERE,TEMPLATE_SPHERE_LIST_FOR_NOTE,0))</f>
        <v>0</v>
      </c>
      <c r="K24" s="1517">
        <f>INDEX(TEMPLATE_NOTE_POINT_FHD,B24,MATCH(TEMPLATE_SPHERE,TEMPLATE_SPHERE_LIST_FOR_NOTE,0))</f>
        <v>0</v>
      </c>
      <c r="L24" s="1356" t="str">
        <f>IF(I24=0,"",I24)</f>
        <v/>
      </c>
      <c r="M24" s="1356" t="str">
        <f>IF(J24=0,"",J24)</f>
        <v/>
      </c>
      <c r="N24" s="1356" t="str">
        <f>IF(K24=0,"",K24)</f>
        <v/>
      </c>
      <c r="O24" s="1469"/>
      <c r="P24" s="1469"/>
      <c r="Q24" s="1469" t="s">
        <v>866</v>
      </c>
      <c r="R24" s="1469"/>
      <c r="S24" s="1469"/>
      <c r="T24" s="1476"/>
      <c r="U24" s="1358"/>
      <c r="V24" s="1358" t="s">
        <v>2198</v>
      </c>
      <c r="W24" s="1358"/>
      <c r="X24" s="1355"/>
      <c r="Y24" s="1512"/>
      <c r="Z24" s="1358"/>
      <c r="AA24" s="1361"/>
      <c r="AB24" s="1358"/>
      <c r="AC24" s="1358"/>
      <c r="AD24" s="1358"/>
    </row>
    <row customHeight="1" ht="36">
      <c r="A25" s="1357"/>
      <c r="B25" s="1411">
        <v>8</v>
      </c>
      <c r="C25" s="1355">
        <v>6</v>
      </c>
      <c r="D25" s="1479"/>
      <c r="E25" s="1355"/>
      <c r="F25" s="1355"/>
      <c r="G25" s="1403"/>
      <c r="H25" s="1470"/>
      <c r="I25" s="1517" t="str">
        <f>INDEX(TEMPLATE_NUMBER_POINT_FHD,B25,MATCH(TEMPLATE_SPHERE,TEMPLATE_SPHERE_LIST_FOR_NOTE,0))</f>
        <v>2.2</v>
      </c>
      <c r="J25" s="151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7">
        <f>INDEX(TEMPLATE_NOTE_POINT_FHD,B25,MATCH(TEMPLATE_SPHERE,TEMPLATE_SPHERE_LIST_FOR_NOTE,0))</f>
        <v>0</v>
      </c>
      <c r="L25" s="1356" t="str">
        <f>IF(I25=0,"",I25)</f>
        <v>2.2</v>
      </c>
      <c r="M25" s="1356" t="str">
        <f>IF(J25=0,"",J25)</f>
        <v>Расходы на приобретаемую электрическую энергию (мощность), используемую в технологическом процессе</v>
      </c>
      <c r="N25" s="1356" t="str">
        <f>IF(K25=0,"",K25)</f>
        <v/>
      </c>
      <c r="O25" s="1469" t="s">
        <v>449</v>
      </c>
      <c r="P25" s="1469" t="s">
        <v>446</v>
      </c>
      <c r="Q25" s="1469" t="s">
        <v>873</v>
      </c>
      <c r="R25" s="1469" t="s">
        <v>446</v>
      </c>
      <c r="S25" s="1469"/>
      <c r="T25" s="1476" t="s">
        <v>2199</v>
      </c>
      <c r="U25" s="1358" t="s">
        <v>2199</v>
      </c>
      <c r="V25" s="1358" t="s">
        <v>2199</v>
      </c>
      <c r="W25" s="1358" t="s">
        <v>2199</v>
      </c>
      <c r="X25" s="1355"/>
      <c r="Y25" s="1512"/>
      <c r="Z25" s="1358"/>
      <c r="AA25" s="1361"/>
      <c r="AB25" s="1358"/>
      <c r="AC25" s="1358"/>
      <c r="AD25" s="1358"/>
    </row>
    <row customHeight="1" ht="18">
      <c r="A26" s="1357"/>
      <c r="B26" s="1411">
        <v>9</v>
      </c>
      <c r="C26" s="1355" t="s">
        <v>790</v>
      </c>
      <c r="D26" s="1479"/>
      <c r="E26" s="1355"/>
      <c r="F26" s="1355"/>
      <c r="G26" s="1403"/>
      <c r="H26" s="1470"/>
      <c r="I26" s="1517" t="str">
        <f>INDEX(TEMPLATE_NUMBER_POINT_FHD,B26,MATCH(TEMPLATE_SPHERE,TEMPLATE_SPHERE_LIST_FOR_NOTE,0))</f>
        <v>2.2.1</v>
      </c>
      <c r="J26" s="1517" t="str">
        <f>INDEX(TEMPLATE_DATA_POINT_FHD,B26,MATCH(TEMPLATE_SPHERE,TEMPLATE_SPHERE_LIST_FOR_NOTE,0))</f>
        <v>Средневзвешенная стоимость 1 кВт.ч (с учетом мощности)</v>
      </c>
      <c r="K26" s="1517">
        <f>INDEX(TEMPLATE_NOTE_POINT_FHD,B26,MATCH(TEMPLATE_SPHERE,TEMPLATE_SPHERE_LIST_FOR_NOTE,0))</f>
        <v>0</v>
      </c>
      <c r="L26" s="1356" t="str">
        <f>IF(I26=0,"",I26)</f>
        <v>2.2.1</v>
      </c>
      <c r="M26" s="1356" t="str">
        <f>IF(J26=0,"",J26)</f>
        <v>Средневзвешенная стоимость 1 кВт.ч (с учетом мощности)</v>
      </c>
      <c r="N26" s="1356" t="str">
        <f>IF(K26=0,"",K26)</f>
        <v/>
      </c>
      <c r="O26" s="1469" t="s">
        <v>862</v>
      </c>
      <c r="P26" s="1469" t="s">
        <v>856</v>
      </c>
      <c r="Q26" s="1469" t="s">
        <v>2200</v>
      </c>
      <c r="R26" s="1469" t="s">
        <v>856</v>
      </c>
      <c r="S26" s="1469"/>
      <c r="T26" s="1476" t="str">
        <f>"Средневзвешенная стоимость 1 кВт.ч"&amp;IF(TITLE_TYPE_ORG="Регулируемая организация"," (с учетом мощности)","")</f>
        <v>Средневзвешенная стоимость 1 кВт.ч</v>
      </c>
      <c r="U26" s="1476" t="s">
        <v>2201</v>
      </c>
      <c r="V26" s="1476" t="s">
        <v>2201</v>
      </c>
      <c r="W26" s="1476" t="s">
        <v>2201</v>
      </c>
      <c r="X26" s="1355"/>
      <c r="Y26" s="1512"/>
      <c r="Z26" s="1358"/>
      <c r="AA26" s="1361"/>
      <c r="AB26" s="1358"/>
      <c r="AC26" s="1358"/>
      <c r="AD26" s="1358"/>
    </row>
    <row customHeight="1" ht="18">
      <c r="A27" s="1357"/>
      <c r="B27" s="1411">
        <v>10</v>
      </c>
      <c r="C27" s="1355" t="s">
        <v>794</v>
      </c>
      <c r="D27" s="1479"/>
      <c r="E27" s="1355"/>
      <c r="F27" s="1355"/>
      <c r="G27" s="1403"/>
      <c r="H27" s="1470"/>
      <c r="I27" s="1517" t="str">
        <f>INDEX(TEMPLATE_NUMBER_POINT_FHD,B27,MATCH(TEMPLATE_SPHERE,TEMPLATE_SPHERE_LIST_FOR_NOTE,0))</f>
        <v>2.2.2</v>
      </c>
      <c r="J27" s="1517" t="str">
        <f>INDEX(TEMPLATE_DATA_POINT_FHD,B27,MATCH(TEMPLATE_SPHERE,TEMPLATE_SPHERE_LIST_FOR_NOTE,0))</f>
        <v>Объём приобретения электрической энергии</v>
      </c>
      <c r="K27" s="1517">
        <f>INDEX(TEMPLATE_NOTE_POINT_FHD,B27,MATCH(TEMPLATE_SPHERE,TEMPLATE_SPHERE_LIST_FOR_NOTE,0))</f>
        <v>0</v>
      </c>
      <c r="L27" s="1356" t="str">
        <f>IF(I27=0,"",I27)</f>
        <v>2.2.2</v>
      </c>
      <c r="M27" s="1356" t="str">
        <f>IF(J27=0,"",J27)</f>
        <v>Объём приобретения электрической энергии</v>
      </c>
      <c r="N27" s="1356" t="str">
        <f>IF(K27=0,"",K27)</f>
        <v/>
      </c>
      <c r="O27" s="1469" t="s">
        <v>864</v>
      </c>
      <c r="P27" s="1469" t="s">
        <v>858</v>
      </c>
      <c r="Q27" s="1469" t="s">
        <v>2202</v>
      </c>
      <c r="R27" s="1469" t="s">
        <v>858</v>
      </c>
      <c r="S27" s="1469"/>
      <c r="T27" s="1476" t="s">
        <v>2203</v>
      </c>
      <c r="U27" s="1476" t="s">
        <v>2203</v>
      </c>
      <c r="V27" s="1476" t="s">
        <v>2203</v>
      </c>
      <c r="W27" s="1476" t="s">
        <v>2203</v>
      </c>
      <c r="X27" s="1355"/>
      <c r="Y27" s="1512"/>
      <c r="Z27" s="1358"/>
      <c r="AA27" s="1361"/>
      <c r="AB27" s="1358"/>
      <c r="AC27" s="1358"/>
      <c r="AD27" s="1358"/>
    </row>
    <row customHeight="1" ht="27">
      <c r="A28" s="1357"/>
      <c r="B28" s="1411">
        <v>11</v>
      </c>
      <c r="C28" s="1355">
        <v>7</v>
      </c>
      <c r="D28" s="1479"/>
      <c r="E28" s="1355"/>
      <c r="F28" s="1355"/>
      <c r="G28" s="1403"/>
      <c r="H28" s="1470"/>
      <c r="I28" s="1517">
        <f>INDEX(TEMPLATE_NUMBER_POINT_FHD,B28,MATCH(TEMPLATE_SPHERE,TEMPLATE_SPHERE_LIST_FOR_NOTE,0))</f>
        <v>0</v>
      </c>
      <c r="J28" s="1517">
        <f>INDEX(TEMPLATE_DATA_POINT_FHD,B28,MATCH(TEMPLATE_SPHERE,TEMPLATE_SPHERE_LIST_FOR_NOTE,0))</f>
        <v>0</v>
      </c>
      <c r="K28" s="1517">
        <f>INDEX(TEMPLATE_NOTE_POINT_FHD,B28,MATCH(TEMPLATE_SPHERE,TEMPLATE_SPHERE_LIST_FOR_NOTE,0))</f>
        <v>0</v>
      </c>
      <c r="L28" s="1356" t="str">
        <f>IF(I28=0,"",I28)</f>
        <v/>
      </c>
      <c r="M28" s="1356" t="str">
        <f>IF(J28=0,"",J28)</f>
        <v/>
      </c>
      <c r="N28" s="1356" t="str">
        <f>IF(K28=0,"",K28)</f>
        <v/>
      </c>
      <c r="O28" s="1469" t="s">
        <v>866</v>
      </c>
      <c r="P28" s="1469"/>
      <c r="Q28" s="1469"/>
      <c r="R28" s="1469"/>
      <c r="S28" s="1469"/>
      <c r="T28" s="1476" t="s">
        <v>2204</v>
      </c>
      <c r="U28" s="1358"/>
      <c r="V28" s="1358"/>
      <c r="W28" s="1358"/>
      <c r="X28" s="1355"/>
      <c r="Y28" s="1512"/>
      <c r="Z28" s="1358"/>
      <c r="AA28" s="1361"/>
      <c r="AB28" s="1358"/>
      <c r="AC28" s="1358"/>
      <c r="AD28" s="1358"/>
    </row>
    <row customHeight="1" ht="27">
      <c r="A29" s="1357"/>
      <c r="B29" s="1411">
        <v>12</v>
      </c>
      <c r="C29" s="1355">
        <v>8</v>
      </c>
      <c r="D29" s="1479"/>
      <c r="E29" s="1355"/>
      <c r="F29" s="1355"/>
      <c r="G29" s="1403"/>
      <c r="H29" s="1470"/>
      <c r="I29" s="1517" t="str">
        <f>INDEX(TEMPLATE_NUMBER_POINT_FHD,B29,MATCH(TEMPLATE_SPHERE,TEMPLATE_SPHERE_LIST_FOR_NOTE,0))</f>
        <v>2.3</v>
      </c>
      <c r="J29" s="1517" t="str">
        <f>INDEX(TEMPLATE_DATA_POINT_FHD,B29,MATCH(TEMPLATE_SPHERE,TEMPLATE_SPHERE_LIST_FOR_NOTE,0))</f>
        <v>Расходы на химические реагенты, используемые в технологическом процессе</v>
      </c>
      <c r="K29" s="1517">
        <f>INDEX(TEMPLATE_NOTE_POINT_FHD,B29,MATCH(TEMPLATE_SPHERE,TEMPLATE_SPHERE_LIST_FOR_NOTE,0))</f>
        <v>0</v>
      </c>
      <c r="L29" s="1356" t="str">
        <f>IF(I29=0,"",I29)</f>
        <v>2.3</v>
      </c>
      <c r="M29" s="1356" t="str">
        <f>IF(J29=0,"",J29)</f>
        <v>Расходы на химические реагенты, используемые в технологическом процессе</v>
      </c>
      <c r="N29" s="1356" t="str">
        <f>IF(K29=0,"",K29)</f>
        <v/>
      </c>
      <c r="O29" s="1469" t="s">
        <v>873</v>
      </c>
      <c r="P29" s="1469" t="s">
        <v>449</v>
      </c>
      <c r="Q29" s="1469"/>
      <c r="R29" s="1469" t="s">
        <v>449</v>
      </c>
      <c r="S29" s="1469"/>
      <c r="T29" s="1476"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358" t="s">
        <v>2205</v>
      </c>
      <c r="V29" s="1358"/>
      <c r="W29" s="1358" t="s">
        <v>2205</v>
      </c>
      <c r="X29" s="1355"/>
      <c r="Y29" s="1512"/>
      <c r="Z29" s="1358"/>
      <c r="AA29" s="1361"/>
      <c r="AB29" s="1358"/>
      <c r="AC29" s="1358"/>
      <c r="AD29" s="1358"/>
    </row>
    <row customHeight="1" ht="54">
      <c r="A30" s="1357"/>
      <c r="B30" s="1411">
        <v>13</v>
      </c>
      <c r="C30" s="1355">
        <v>9</v>
      </c>
      <c r="D30" s="1479"/>
      <c r="E30" s="1355"/>
      <c r="F30" s="1355"/>
      <c r="G30" s="1403"/>
      <c r="H30" s="1470"/>
      <c r="I30" s="1517" t="str">
        <f>INDEX(TEMPLATE_NUMBER_POINT_FHD,B30,MATCH(TEMPLATE_SPHERE,TEMPLATE_SPHERE_LIST_FOR_NOTE,0))</f>
        <v>2.4</v>
      </c>
      <c r="J30" s="151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7"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356" t="str">
        <f>IF(I30=0,"",I30)</f>
        <v>2.4</v>
      </c>
      <c r="M30" s="13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6" t="str">
        <f>IF(K30=0,"",K30)</f>
        <v>Указывается общая сумма расходов на оплату труда и отчислений на социальные нужды основного производственного персонала.</v>
      </c>
      <c r="O30" s="1469" t="s">
        <v>875</v>
      </c>
      <c r="P30" s="1469" t="s">
        <v>866</v>
      </c>
      <c r="Q30" s="1469" t="s">
        <v>875</v>
      </c>
      <c r="R30" s="1469" t="s">
        <v>866</v>
      </c>
      <c r="S30" s="1469"/>
      <c r="T30" s="1476" t="s">
        <v>2206</v>
      </c>
      <c r="U30" s="1358" t="s">
        <v>2206</v>
      </c>
      <c r="V30" s="1358" t="s">
        <v>2206</v>
      </c>
      <c r="W30" s="1358" t="s">
        <v>2206</v>
      </c>
      <c r="X30" s="1355"/>
      <c r="Y30" s="1512"/>
      <c r="Z30" s="1358"/>
      <c r="AA30" s="1361" t="s">
        <v>2207</v>
      </c>
      <c r="AB30" s="1361" t="s">
        <v>2207</v>
      </c>
      <c r="AC30" s="1361" t="s">
        <v>2207</v>
      </c>
      <c r="AD30" s="1358"/>
    </row>
    <row customHeight="1" ht="18">
      <c r="A31" s="1357"/>
      <c r="B31" s="1411">
        <v>14</v>
      </c>
      <c r="C31" s="1355" t="s">
        <v>2208</v>
      </c>
      <c r="D31" s="1479"/>
      <c r="E31" s="1355"/>
      <c r="F31" s="1355"/>
      <c r="G31" s="1403"/>
      <c r="H31" s="1470"/>
      <c r="I31" s="1517" t="str">
        <f>INDEX(TEMPLATE_NUMBER_POINT_FHD,B31,MATCH(TEMPLATE_SPHERE,TEMPLATE_SPHERE_LIST_FOR_NOTE,0))</f>
        <v>2.4.1</v>
      </c>
      <c r="J31" s="1517" t="str">
        <f>INDEX(TEMPLATE_DATA_POINT_FHD,B31,MATCH(TEMPLATE_SPHERE,TEMPLATE_SPHERE_LIST_FOR_NOTE,0))</f>
        <v>Расходы на оплату труда основного производственного персонала</v>
      </c>
      <c r="K31" s="1517">
        <f>INDEX(TEMPLATE_NOTE_POINT_FHD,B31,MATCH(TEMPLATE_SPHERE,TEMPLATE_SPHERE_LIST_FOR_NOTE,0))</f>
        <v>0</v>
      </c>
      <c r="L31" s="1356" t="str">
        <f>IF(I31=0,"",I31)</f>
        <v>2.4.1</v>
      </c>
      <c r="M31" s="1356" t="str">
        <f>IF(J31=0,"",J31)</f>
        <v>Расходы на оплату труда основного производственного персонала</v>
      </c>
      <c r="N31" s="1356" t="str">
        <f>IF(K31=0,"",K31)</f>
        <v/>
      </c>
      <c r="O31" s="1469" t="s">
        <v>2209</v>
      </c>
      <c r="P31" s="1469" t="s">
        <v>869</v>
      </c>
      <c r="Q31" s="1469" t="s">
        <v>2209</v>
      </c>
      <c r="R31" s="1469" t="s">
        <v>869</v>
      </c>
      <c r="S31" s="1469"/>
      <c r="T31" s="1477" t="s">
        <v>2210</v>
      </c>
      <c r="U31" s="1358" t="s">
        <v>2210</v>
      </c>
      <c r="V31" s="1358" t="s">
        <v>2210</v>
      </c>
      <c r="W31" s="1358" t="s">
        <v>2210</v>
      </c>
      <c r="X31" s="1355"/>
      <c r="Y31" s="1512"/>
      <c r="Z31" s="1358"/>
      <c r="AA31" s="1361"/>
      <c r="AB31" s="1361"/>
      <c r="AC31" s="1361"/>
      <c r="AD31" s="1358"/>
    </row>
    <row customHeight="1" ht="36">
      <c r="A32" s="1357"/>
      <c r="B32" s="1411">
        <v>15</v>
      </c>
      <c r="C32" s="1355" t="s">
        <v>2211</v>
      </c>
      <c r="D32" s="1479"/>
      <c r="E32" s="1355"/>
      <c r="F32" s="1355"/>
      <c r="G32" s="1403"/>
      <c r="H32" s="1470"/>
      <c r="I32" s="1517" t="str">
        <f>INDEX(TEMPLATE_NUMBER_POINT_FHD,B32,MATCH(TEMPLATE_SPHERE,TEMPLATE_SPHERE_LIST_FOR_NOTE,0))</f>
        <v>2.4.2</v>
      </c>
      <c r="J32" s="151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7">
        <f>INDEX(TEMPLATE_NOTE_POINT_FHD,B32,MATCH(TEMPLATE_SPHERE,TEMPLATE_SPHERE_LIST_FOR_NOTE,0))</f>
        <v>0</v>
      </c>
      <c r="L32" s="1356" t="str">
        <f>IF(I32=0,"",I32)</f>
        <v>2.4.2</v>
      </c>
      <c r="M32" s="1356" t="str">
        <f>IF(J32=0,"",J32)</f>
        <v>Страховые взносы на обязательное социальное страхование, выплачиваемые из фонда оплаты труда основного производственного персонала</v>
      </c>
      <c r="N32" s="1356" t="str">
        <f>IF(K32=0,"",K32)</f>
        <v/>
      </c>
      <c r="O32" s="1469" t="s">
        <v>2212</v>
      </c>
      <c r="P32" s="1469" t="s">
        <v>871</v>
      </c>
      <c r="Q32" s="1469" t="s">
        <v>2212</v>
      </c>
      <c r="R32" s="1469" t="s">
        <v>871</v>
      </c>
      <c r="S32" s="1469"/>
      <c r="T32" s="147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358" t="s">
        <v>2213</v>
      </c>
      <c r="V32" s="1358" t="s">
        <v>2213</v>
      </c>
      <c r="W32" s="1358" t="s">
        <v>2213</v>
      </c>
      <c r="X32" s="1355"/>
      <c r="Y32" s="1512"/>
      <c r="Z32" s="1358"/>
      <c r="AA32" s="1361"/>
      <c r="AB32" s="1361"/>
      <c r="AC32" s="1361"/>
      <c r="AD32" s="1358"/>
    </row>
    <row customHeight="1" ht="45">
      <c r="A33" s="1357"/>
      <c r="B33" s="1411">
        <v>16</v>
      </c>
      <c r="C33" s="1355">
        <v>10</v>
      </c>
      <c r="D33" s="1479"/>
      <c r="E33" s="1355"/>
      <c r="F33" s="1355"/>
      <c r="G33" s="1403"/>
      <c r="H33" s="1470"/>
      <c r="I33" s="1517" t="str">
        <f>INDEX(TEMPLATE_NUMBER_POINT_FHD,B33,MATCH(TEMPLATE_SPHERE,TEMPLATE_SPHERE_LIST_FOR_NOTE,0))</f>
        <v>2.5</v>
      </c>
      <c r="J33" s="151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17"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356" t="str">
        <f>IF(I33=0,"",I33)</f>
        <v>2.5</v>
      </c>
      <c r="M33" s="13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56" t="str">
        <f>IF(K33=0,"",K33)</f>
        <v>Указывается общая сумма расходов на оплату труда и отчислений на социальные нужды административно-управленческого персонала.</v>
      </c>
      <c r="O33" s="1469" t="s">
        <v>877</v>
      </c>
      <c r="P33" s="1469" t="s">
        <v>873</v>
      </c>
      <c r="Q33" s="1469" t="s">
        <v>877</v>
      </c>
      <c r="R33" s="1469" t="s">
        <v>873</v>
      </c>
      <c r="S33" s="1469"/>
      <c r="T33" s="147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358" t="s">
        <v>2214</v>
      </c>
      <c r="V33" s="1358" t="s">
        <v>2214</v>
      </c>
      <c r="W33" s="1358" t="s">
        <v>2215</v>
      </c>
      <c r="X33" s="1355"/>
      <c r="Y33" s="1512"/>
      <c r="Z33" s="1358"/>
      <c r="AA33" s="1361" t="s">
        <v>2216</v>
      </c>
      <c r="AB33" s="1361" t="s">
        <v>2216</v>
      </c>
      <c r="AC33" s="1361" t="s">
        <v>2216</v>
      </c>
      <c r="AD33" s="1358"/>
    </row>
    <row customHeight="1" ht="27">
      <c r="A34" s="1357"/>
      <c r="B34" s="1411">
        <v>17</v>
      </c>
      <c r="C34" s="1355" t="s">
        <v>2217</v>
      </c>
      <c r="D34" s="1479"/>
      <c r="E34" s="1355"/>
      <c r="F34" s="1355"/>
      <c r="G34" s="1403"/>
      <c r="H34" s="1470"/>
      <c r="I34" s="1517" t="str">
        <f>INDEX(TEMPLATE_NUMBER_POINT_FHD,B34,MATCH(TEMPLATE_SPHERE,TEMPLATE_SPHERE_LIST_FOR_NOTE,0))</f>
        <v>2.5.1</v>
      </c>
      <c r="J34" s="1517" t="str">
        <f>INDEX(TEMPLATE_DATA_POINT_FHD,B34,MATCH(TEMPLATE_SPHERE,TEMPLATE_SPHERE_LIST_FOR_NOTE,0))</f>
        <v>Расходы на оплату труда административно-управленческого персонала</v>
      </c>
      <c r="K34" s="1517">
        <f>INDEX(TEMPLATE_NOTE_POINT_FHD,B34,MATCH(TEMPLATE_SPHERE,TEMPLATE_SPHERE_LIST_FOR_NOTE,0))</f>
        <v>0</v>
      </c>
      <c r="L34" s="1356" t="str">
        <f>IF(I34=0,"",I34)</f>
        <v>2.5.1</v>
      </c>
      <c r="M34" s="1356" t="str">
        <f>IF(J34=0,"",J34)</f>
        <v>Расходы на оплату труда административно-управленческого персонала</v>
      </c>
      <c r="N34" s="1356" t="str">
        <f>IF(K34=0,"",K34)</f>
        <v/>
      </c>
      <c r="O34" s="1469" t="s">
        <v>2218</v>
      </c>
      <c r="P34" s="1469" t="s">
        <v>2200</v>
      </c>
      <c r="Q34" s="1469" t="s">
        <v>2218</v>
      </c>
      <c r="R34" s="1469" t="s">
        <v>2200</v>
      </c>
      <c r="S34" s="1469"/>
      <c r="T34" s="1478" t="s">
        <v>2219</v>
      </c>
      <c r="U34" s="1358" t="s">
        <v>2219</v>
      </c>
      <c r="V34" s="1358" t="s">
        <v>2219</v>
      </c>
      <c r="W34" s="1358" t="s">
        <v>2220</v>
      </c>
      <c r="X34" s="1355"/>
      <c r="Y34" s="1512"/>
      <c r="Z34" s="1358"/>
      <c r="AA34" s="1361"/>
      <c r="AB34" s="1358"/>
      <c r="AC34" s="1358"/>
      <c r="AD34" s="1358"/>
    </row>
    <row customHeight="1" ht="45">
      <c r="A35" s="1357"/>
      <c r="B35" s="1411">
        <v>18</v>
      </c>
      <c r="C35" s="1355" t="s">
        <v>2221</v>
      </c>
      <c r="D35" s="1479"/>
      <c r="E35" s="1355"/>
      <c r="F35" s="1355"/>
      <c r="G35" s="1403"/>
      <c r="H35" s="1470"/>
      <c r="I35" s="1517" t="str">
        <f>INDEX(TEMPLATE_NUMBER_POINT_FHD,B35,MATCH(TEMPLATE_SPHERE,TEMPLATE_SPHERE_LIST_FOR_NOTE,0))</f>
        <v>2.5.2</v>
      </c>
      <c r="J35" s="151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7">
        <f>INDEX(TEMPLATE_NOTE_POINT_FHD,B35,MATCH(TEMPLATE_SPHERE,TEMPLATE_SPHERE_LIST_FOR_NOTE,0))</f>
        <v>0</v>
      </c>
      <c r="L35" s="1356" t="str">
        <f>IF(I35=0,"",I35)</f>
        <v>2.5.2</v>
      </c>
      <c r="M35" s="13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6" t="str">
        <f>IF(K35=0,"",K35)</f>
        <v/>
      </c>
      <c r="O35" s="1469" t="s">
        <v>2222</v>
      </c>
      <c r="P35" s="1469" t="s">
        <v>2202</v>
      </c>
      <c r="Q35" s="1469" t="s">
        <v>2222</v>
      </c>
      <c r="R35" s="1469" t="s">
        <v>2202</v>
      </c>
      <c r="S35" s="1469"/>
      <c r="T35" s="147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358" t="s">
        <v>2223</v>
      </c>
      <c r="V35" s="1358" t="s">
        <v>2223</v>
      </c>
      <c r="W35" s="1358" t="s">
        <v>2223</v>
      </c>
      <c r="X35" s="1355"/>
      <c r="Y35" s="1512"/>
      <c r="Z35" s="1358"/>
      <c r="AA35" s="1361"/>
      <c r="AB35" s="1358"/>
      <c r="AC35" s="1358"/>
      <c r="AD35" s="1358"/>
    </row>
    <row customHeight="1" ht="18">
      <c r="A36" s="1357"/>
      <c r="B36" s="1411">
        <v>19</v>
      </c>
      <c r="C36" s="1355">
        <v>11</v>
      </c>
      <c r="D36" s="1479"/>
      <c r="E36" s="1355"/>
      <c r="F36" s="1355"/>
      <c r="G36" s="1403"/>
      <c r="H36" s="1470"/>
      <c r="I36" s="1517" t="str">
        <f>INDEX(TEMPLATE_NUMBER_POINT_FHD,B36,MATCH(TEMPLATE_SPHERE,TEMPLATE_SPHERE_LIST_FOR_NOTE,0))</f>
        <v>2.6</v>
      </c>
      <c r="J36" s="1517" t="str">
        <f>INDEX(TEMPLATE_DATA_POINT_FHD,B36,MATCH(TEMPLATE_SPHERE,TEMPLATE_SPHERE_LIST_FOR_NOTE,0))</f>
        <v>Расходы на амортизацию основных средств и нематериальных активов</v>
      </c>
      <c r="K36" s="1517">
        <f>INDEX(TEMPLATE_NOTE_POINT_FHD,B36,MATCH(TEMPLATE_SPHERE,TEMPLATE_SPHERE_LIST_FOR_NOTE,0))</f>
        <v>0</v>
      </c>
      <c r="L36" s="1356" t="str">
        <f>IF(I36=0,"",I36)</f>
        <v>2.6</v>
      </c>
      <c r="M36" s="1356" t="str">
        <f>IF(J36=0,"",J36)</f>
        <v>Расходы на амортизацию основных средств и нематериальных активов</v>
      </c>
      <c r="N36" s="1356" t="str">
        <f>IF(K36=0,"",K36)</f>
        <v/>
      </c>
      <c r="O36" s="1469" t="s">
        <v>879</v>
      </c>
      <c r="P36" s="1469" t="s">
        <v>875</v>
      </c>
      <c r="Q36" s="1469" t="s">
        <v>879</v>
      </c>
      <c r="R36" s="1469" t="s">
        <v>875</v>
      </c>
      <c r="S36" s="1469"/>
      <c r="T36" s="1476" t="s">
        <v>2224</v>
      </c>
      <c r="U36" s="1358" t="s">
        <v>2224</v>
      </c>
      <c r="V36" s="1358" t="s">
        <v>2224</v>
      </c>
      <c r="W36" s="1358" t="s">
        <v>2224</v>
      </c>
      <c r="X36" s="1355"/>
      <c r="Y36" s="1512"/>
      <c r="Z36" s="1358"/>
      <c r="AA36" s="1361"/>
      <c r="AB36" s="1358"/>
      <c r="AC36" s="1358"/>
      <c r="AD36" s="1358"/>
    </row>
    <row customHeight="1" ht="18">
      <c r="A37" s="1357"/>
      <c r="B37" s="1411">
        <v>20</v>
      </c>
      <c r="C37" s="1355" t="s">
        <v>2225</v>
      </c>
      <c r="D37" s="1479"/>
      <c r="E37" s="1355"/>
      <c r="F37" s="1355"/>
      <c r="G37" s="1403"/>
      <c r="H37" s="1470"/>
      <c r="I37" s="1517" t="str">
        <f>INDEX(TEMPLATE_NUMBER_POINT_FHD,B37,MATCH(TEMPLATE_SPHERE,TEMPLATE_SPHERE_LIST_FOR_NOTE,0))</f>
        <v>2.6.1</v>
      </c>
      <c r="J37" s="1517" t="str">
        <f>INDEX(TEMPLATE_DATA_POINT_FHD,B37,MATCH(TEMPLATE_SPHERE,TEMPLATE_SPHERE_LIST_FOR_NOTE,0))</f>
        <v>Расходы на амортизацию основных средств</v>
      </c>
      <c r="K37" s="1517">
        <f>INDEX(TEMPLATE_NOTE_POINT_FHD,B37,MATCH(TEMPLATE_SPHERE,TEMPLATE_SPHERE_LIST_FOR_NOTE,0))</f>
        <v>0</v>
      </c>
      <c r="L37" s="1356" t="str">
        <f>IF(I37=0,"",I37)</f>
        <v>2.6.1</v>
      </c>
      <c r="M37" s="1356" t="str">
        <f>IF(J37=0,"",J37)</f>
        <v>Расходы на амортизацию основных средств</v>
      </c>
      <c r="N37" s="1356" t="str">
        <f>IF(K37=0,"",K37)</f>
        <v/>
      </c>
      <c r="O37" s="1469" t="s">
        <v>2226</v>
      </c>
      <c r="P37" s="1469" t="s">
        <v>2209</v>
      </c>
      <c r="Q37" s="1469" t="s">
        <v>2226</v>
      </c>
      <c r="R37" s="1469" t="s">
        <v>2209</v>
      </c>
      <c r="S37" s="1469"/>
      <c r="T37" s="1476" t="s">
        <v>2227</v>
      </c>
      <c r="U37" s="1358" t="s">
        <v>2227</v>
      </c>
      <c r="V37" s="1358" t="s">
        <v>2227</v>
      </c>
      <c r="W37" s="1358" t="s">
        <v>2227</v>
      </c>
      <c r="X37" s="1355"/>
      <c r="Y37" s="1512"/>
      <c r="Z37" s="1358"/>
      <c r="AA37" s="1361"/>
      <c r="AB37" s="1358"/>
      <c r="AC37" s="1358"/>
      <c r="AD37" s="1358"/>
    </row>
    <row customHeight="1" ht="18">
      <c r="A38" s="1357"/>
      <c r="B38" s="1411">
        <v>21</v>
      </c>
      <c r="C38" s="1355" t="s">
        <v>2228</v>
      </c>
      <c r="D38" s="1479"/>
      <c r="E38" s="1355"/>
      <c r="F38" s="1355"/>
      <c r="G38" s="1403"/>
      <c r="H38" s="1470"/>
      <c r="I38" s="1517" t="str">
        <f>INDEX(TEMPLATE_NUMBER_POINT_FHD,B38,MATCH(TEMPLATE_SPHERE,TEMPLATE_SPHERE_LIST_FOR_NOTE,0))</f>
        <v>2.6.2</v>
      </c>
      <c r="J38" s="1517" t="str">
        <f>INDEX(TEMPLATE_DATA_POINT_FHD,B38,MATCH(TEMPLATE_SPHERE,TEMPLATE_SPHERE_LIST_FOR_NOTE,0))</f>
        <v>Расходы на амортизацию нематериальных активов</v>
      </c>
      <c r="K38" s="1517">
        <f>INDEX(TEMPLATE_NOTE_POINT_FHD,B38,MATCH(TEMPLATE_SPHERE,TEMPLATE_SPHERE_LIST_FOR_NOTE,0))</f>
        <v>0</v>
      </c>
      <c r="L38" s="1356" t="str">
        <f>IF(I38=0,"",I38)</f>
        <v>2.6.2</v>
      </c>
      <c r="M38" s="1356" t="str">
        <f>IF(J38=0,"",J38)</f>
        <v>Расходы на амортизацию нематериальных активов</v>
      </c>
      <c r="N38" s="1356" t="str">
        <f>IF(K38=0,"",K38)</f>
        <v/>
      </c>
      <c r="O38" s="1469" t="s">
        <v>2229</v>
      </c>
      <c r="P38" s="1469" t="s">
        <v>2212</v>
      </c>
      <c r="Q38" s="1469" t="s">
        <v>2229</v>
      </c>
      <c r="R38" s="1469" t="s">
        <v>2212</v>
      </c>
      <c r="S38" s="1469"/>
      <c r="T38" s="1476" t="s">
        <v>2230</v>
      </c>
      <c r="U38" s="1358" t="s">
        <v>2230</v>
      </c>
      <c r="V38" s="1358" t="s">
        <v>2230</v>
      </c>
      <c r="W38" s="1358" t="s">
        <v>2230</v>
      </c>
      <c r="X38" s="1355"/>
      <c r="Y38" s="1512"/>
      <c r="Z38" s="1358"/>
      <c r="AA38" s="1361"/>
      <c r="AB38" s="1358"/>
      <c r="AC38" s="1358"/>
      <c r="AD38" s="1358"/>
    </row>
    <row customHeight="1" ht="36">
      <c r="A39" s="1357"/>
      <c r="B39" s="1411">
        <v>22</v>
      </c>
      <c r="C39" s="1355">
        <v>12</v>
      </c>
      <c r="D39" s="1479"/>
      <c r="E39" s="1355"/>
      <c r="F39" s="1355"/>
      <c r="G39" s="1403"/>
      <c r="H39" s="1470"/>
      <c r="I39" s="1517" t="str">
        <f>INDEX(TEMPLATE_NUMBER_POINT_FHD,B39,MATCH(TEMPLATE_SPHERE,TEMPLATE_SPHERE_LIST_FOR_NOTE,0))</f>
        <v>2.7</v>
      </c>
      <c r="J39" s="1517"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517">
        <f>INDEX(TEMPLATE_NOTE_POINT_FHD,B39,MATCH(TEMPLATE_SPHERE,TEMPLATE_SPHERE_LIST_FOR_NOTE,0))</f>
        <v>0</v>
      </c>
      <c r="L39" s="1356" t="str">
        <f>IF(I39=0,"",I39)</f>
        <v>2.7</v>
      </c>
      <c r="M39" s="1356" t="str">
        <f>IF(J39=0,"",J39)</f>
        <v>Расходы на аренду имущества, используемого для осуществления регулируемых видов деятельности в сфере холодного водоснабжения</v>
      </c>
      <c r="N39" s="1356" t="str">
        <f>IF(K39=0,"",K39)</f>
        <v/>
      </c>
      <c r="O39" s="1469" t="s">
        <v>883</v>
      </c>
      <c r="P39" s="1469" t="s">
        <v>877</v>
      </c>
      <c r="Q39" s="1469" t="s">
        <v>883</v>
      </c>
      <c r="R39" s="1469" t="s">
        <v>877</v>
      </c>
      <c r="S39" s="1469"/>
      <c r="T39" s="1476" t="s">
        <v>2231</v>
      </c>
      <c r="U39" s="1358" t="s">
        <v>2232</v>
      </c>
      <c r="V39" s="1358" t="s">
        <v>2233</v>
      </c>
      <c r="W39" s="1358" t="s">
        <v>2234</v>
      </c>
      <c r="X39" s="1355"/>
      <c r="Y39" s="1512"/>
      <c r="Z39" s="1358"/>
      <c r="AA39" s="1361"/>
      <c r="AB39" s="1358"/>
      <c r="AC39" s="1358"/>
      <c r="AD39" s="1358"/>
    </row>
    <row customHeight="1" ht="18">
      <c r="A40" s="1357"/>
      <c r="B40" s="1411">
        <v>23</v>
      </c>
      <c r="C40" s="1355">
        <v>13</v>
      </c>
      <c r="D40" s="1479"/>
      <c r="E40" s="1355"/>
      <c r="F40" s="1355"/>
      <c r="G40" s="1355"/>
      <c r="H40" s="1406"/>
      <c r="I40" s="1517" t="str">
        <f>INDEX(TEMPLATE_NUMBER_POINT_FHD,B40,MATCH(TEMPLATE_SPHERE,TEMPLATE_SPHERE_LIST_FOR_NOTE,0))</f>
        <v>2.8</v>
      </c>
      <c r="J40" s="1517" t="str">
        <f>INDEX(TEMPLATE_DATA_POINT_FHD,B40,MATCH(TEMPLATE_SPHERE,TEMPLATE_SPHERE_LIST_FOR_NOTE,0))</f>
        <v>Общепроизводственные расходы, в том числе:</v>
      </c>
      <c r="K40" s="1517" t="str">
        <f>INDEX(TEMPLATE_NOTE_POINT_FHD,B40,MATCH(TEMPLATE_SPHERE,TEMPLATE_SPHERE_LIST_FOR_NOTE,0))</f>
        <v>Указывается общая сумма общепроизводственных расходов.</v>
      </c>
      <c r="L40" s="1356" t="str">
        <f>IF(I40=0,"",I40)</f>
        <v>2.8</v>
      </c>
      <c r="M40" s="1356" t="str">
        <f>IF(J40=0,"",J40)</f>
        <v>Общепроизводственные расходы, в том числе:</v>
      </c>
      <c r="N40" s="1356" t="str">
        <f>IF(K40=0,"",K40)</f>
        <v>Указывается общая сумма общепроизводственных расходов.</v>
      </c>
      <c r="O40" s="1469" t="s">
        <v>2235</v>
      </c>
      <c r="P40" s="1469" t="s">
        <v>879</v>
      </c>
      <c r="Q40" s="1469" t="s">
        <v>2235</v>
      </c>
      <c r="R40" s="1469" t="s">
        <v>879</v>
      </c>
      <c r="S40" s="1469"/>
      <c r="T40" s="1355" t="s">
        <v>2236</v>
      </c>
      <c r="U40" s="1355" t="s">
        <v>2236</v>
      </c>
      <c r="V40" s="1355" t="s">
        <v>2236</v>
      </c>
      <c r="W40" s="1355" t="s">
        <v>2236</v>
      </c>
      <c r="X40" s="1355"/>
      <c r="Y40" s="1512"/>
      <c r="Z40" s="1358" t="s">
        <v>2237</v>
      </c>
      <c r="AA40" s="1361" t="s">
        <v>2237</v>
      </c>
      <c r="AB40" s="1361" t="s">
        <v>2237</v>
      </c>
      <c r="AC40" s="1361" t="s">
        <v>2237</v>
      </c>
      <c r="AD40" s="1358"/>
    </row>
    <row customHeight="1" ht="27">
      <c r="A41" s="1357"/>
      <c r="B41" s="1411">
        <v>24</v>
      </c>
      <c r="C41" s="1355" t="s">
        <v>2238</v>
      </c>
      <c r="D41" s="1479"/>
      <c r="E41" s="1355"/>
      <c r="F41" s="1355"/>
      <c r="G41" s="1355"/>
      <c r="H41" s="1403"/>
      <c r="I41" s="1517" t="str">
        <f>INDEX(TEMPLATE_NUMBER_POINT_FHD,B41,MATCH(TEMPLATE_SPHERE,TEMPLATE_SPHERE_LIST_FOR_NOTE,0))</f>
        <v>2.8.1</v>
      </c>
      <c r="J41" s="1517" t="str">
        <f>INDEX(TEMPLATE_DATA_POINT_FHD,B41,MATCH(TEMPLATE_SPHERE,TEMPLATE_SPHERE_LIST_FOR_NOTE,0))</f>
        <v>Расходы на текущий ремонт</v>
      </c>
      <c r="K41" s="1517" t="str">
        <f>INDEX(TEMPLATE_NOTE_POINT_FHD,B41,MATCH(TEMPLATE_SPHERE,TEMPLATE_SPHERE_LIST_FOR_NOTE,0))</f>
        <v>Указываются расходы на текущий ремонт, отнесенные к общепроизводственным расходам.</v>
      </c>
      <c r="L41" s="1356" t="str">
        <f>IF(I41=0,"",I41)</f>
        <v>2.8.1</v>
      </c>
      <c r="M41" s="1356" t="str">
        <f>IF(J41=0,"",J41)</f>
        <v>Расходы на текущий ремонт</v>
      </c>
      <c r="N41" s="1356" t="str">
        <f>IF(K41=0,"",K41)</f>
        <v>Указываются расходы на текущий ремонт, отнесенные к общепроизводственным расходам.</v>
      </c>
      <c r="O41" s="1469" t="s">
        <v>2239</v>
      </c>
      <c r="P41" s="1469" t="s">
        <v>2226</v>
      </c>
      <c r="Q41" s="1469" t="s">
        <v>2239</v>
      </c>
      <c r="R41" s="1469" t="s">
        <v>2226</v>
      </c>
      <c r="S41" s="1469"/>
      <c r="T41" s="1355" t="s">
        <v>2240</v>
      </c>
      <c r="U41" s="1355" t="s">
        <v>2240</v>
      </c>
      <c r="V41" s="1355" t="s">
        <v>2240</v>
      </c>
      <c r="W41" s="1355" t="s">
        <v>2240</v>
      </c>
      <c r="X41" s="1355"/>
      <c r="Y41" s="1512"/>
      <c r="Z41" s="1358" t="s">
        <v>2241</v>
      </c>
      <c r="AA41" s="1358" t="s">
        <v>2241</v>
      </c>
      <c r="AB41" s="1358" t="s">
        <v>2241</v>
      </c>
      <c r="AC41" s="1358" t="s">
        <v>2241</v>
      </c>
      <c r="AD41" s="1358"/>
    </row>
    <row customHeight="1" ht="27">
      <c r="A42" s="1357"/>
      <c r="B42" s="1411">
        <v>25</v>
      </c>
      <c r="C42" s="1355" t="s">
        <v>2242</v>
      </c>
      <c r="D42" s="1479"/>
      <c r="E42" s="1355"/>
      <c r="F42" s="1355"/>
      <c r="G42" s="1355"/>
      <c r="H42" s="1403"/>
      <c r="I42" s="1517" t="str">
        <f>INDEX(TEMPLATE_NUMBER_POINT_FHD,B42,MATCH(TEMPLATE_SPHERE,TEMPLATE_SPHERE_LIST_FOR_NOTE,0))</f>
        <v>2.8.2</v>
      </c>
      <c r="J42" s="1517" t="str">
        <f>INDEX(TEMPLATE_DATA_POINT_FHD,B42,MATCH(TEMPLATE_SPHERE,TEMPLATE_SPHERE_LIST_FOR_NOTE,0))</f>
        <v>Расходы на капитальный ремонт</v>
      </c>
      <c r="K42" s="1517" t="str">
        <f>INDEX(TEMPLATE_NOTE_POINT_FHD,B42,MATCH(TEMPLATE_SPHERE,TEMPLATE_SPHERE_LIST_FOR_NOTE,0))</f>
        <v>Указываются расходы на капитальный ремонт, отнесенные к общепроизводственным расходам.</v>
      </c>
      <c r="L42" s="1356" t="str">
        <f>IF(I42=0,"",I42)</f>
        <v>2.8.2</v>
      </c>
      <c r="M42" s="1356" t="str">
        <f>IF(J42=0,"",J42)</f>
        <v>Расходы на капитальный ремонт</v>
      </c>
      <c r="N42" s="1356" t="str">
        <f>IF(K42=0,"",K42)</f>
        <v>Указываются расходы на капитальный ремонт, отнесенные к общепроизводственным расходам.</v>
      </c>
      <c r="O42" s="1469" t="s">
        <v>2243</v>
      </c>
      <c r="P42" s="1469" t="s">
        <v>2229</v>
      </c>
      <c r="Q42" s="1469" t="s">
        <v>2243</v>
      </c>
      <c r="R42" s="1469" t="s">
        <v>2229</v>
      </c>
      <c r="S42" s="1469"/>
      <c r="T42" s="1355" t="s">
        <v>2244</v>
      </c>
      <c r="U42" s="1355" t="s">
        <v>2244</v>
      </c>
      <c r="V42" s="1355" t="s">
        <v>2244</v>
      </c>
      <c r="W42" s="1355" t="s">
        <v>2244</v>
      </c>
      <c r="X42" s="1355"/>
      <c r="Y42" s="1512"/>
      <c r="Z42" s="1358" t="s">
        <v>2245</v>
      </c>
      <c r="AA42" s="1358" t="s">
        <v>2245</v>
      </c>
      <c r="AB42" s="1358" t="s">
        <v>2245</v>
      </c>
      <c r="AC42" s="1358" t="s">
        <v>2245</v>
      </c>
      <c r="AD42" s="1358"/>
    </row>
    <row customHeight="1" ht="18">
      <c r="A43" s="1357"/>
      <c r="B43" s="1411">
        <v>26</v>
      </c>
      <c r="C43" s="1355">
        <v>14</v>
      </c>
      <c r="D43" s="1479"/>
      <c r="E43" s="1355"/>
      <c r="F43" s="1355"/>
      <c r="G43" s="1355"/>
      <c r="H43" s="1403"/>
      <c r="I43" s="1517" t="str">
        <f>INDEX(TEMPLATE_NUMBER_POINT_FHD,B43,MATCH(TEMPLATE_SPHERE,TEMPLATE_SPHERE_LIST_FOR_NOTE,0))</f>
        <v>2.9</v>
      </c>
      <c r="J43" s="1517" t="str">
        <f>INDEX(TEMPLATE_DATA_POINT_FHD,B43,MATCH(TEMPLATE_SPHERE,TEMPLATE_SPHERE_LIST_FOR_NOTE,0))</f>
        <v>Общехозяйственные расходы, в том числе:</v>
      </c>
      <c r="K43" s="1517" t="str">
        <f>INDEX(TEMPLATE_NOTE_POINT_FHD,B43,MATCH(TEMPLATE_SPHERE,TEMPLATE_SPHERE_LIST_FOR_NOTE,0))</f>
        <v>Указывается общая сумма общехозяйственных расходов.</v>
      </c>
      <c r="L43" s="1356" t="str">
        <f>IF(I43=0,"",I43)</f>
        <v>2.9</v>
      </c>
      <c r="M43" s="1356" t="str">
        <f>IF(J43=0,"",J43)</f>
        <v>Общехозяйственные расходы, в том числе:</v>
      </c>
      <c r="N43" s="1356" t="str">
        <f>IF(K43=0,"",K43)</f>
        <v>Указывается общая сумма общехозяйственных расходов.</v>
      </c>
      <c r="O43" s="1469" t="s">
        <v>2246</v>
      </c>
      <c r="P43" s="1469" t="s">
        <v>883</v>
      </c>
      <c r="Q43" s="1469" t="s">
        <v>2246</v>
      </c>
      <c r="R43" s="1469" t="s">
        <v>883</v>
      </c>
      <c r="S43" s="1469"/>
      <c r="T43" s="1355" t="s">
        <v>2247</v>
      </c>
      <c r="U43" s="1355" t="s">
        <v>2247</v>
      </c>
      <c r="V43" s="1355" t="s">
        <v>2247</v>
      </c>
      <c r="W43" s="1355" t="s">
        <v>2247</v>
      </c>
      <c r="X43" s="1355"/>
      <c r="Y43" s="1512"/>
      <c r="Z43" s="1358" t="s">
        <v>2248</v>
      </c>
      <c r="AA43" s="1358" t="s">
        <v>2248</v>
      </c>
      <c r="AB43" s="1358" t="s">
        <v>2248</v>
      </c>
      <c r="AC43" s="1358" t="s">
        <v>2248</v>
      </c>
      <c r="AD43" s="1358"/>
    </row>
    <row customHeight="1" ht="27">
      <c r="A44" s="1357"/>
      <c r="B44" s="1411">
        <v>27</v>
      </c>
      <c r="C44" s="1355" t="s">
        <v>2249</v>
      </c>
      <c r="D44" s="1479"/>
      <c r="E44" s="1355"/>
      <c r="F44" s="1355"/>
      <c r="G44" s="1355"/>
      <c r="H44" s="1403"/>
      <c r="I44" s="1517" t="str">
        <f>INDEX(TEMPLATE_NUMBER_POINT_FHD,B44,MATCH(TEMPLATE_SPHERE,TEMPLATE_SPHERE_LIST_FOR_NOTE,0))</f>
        <v>2.9.1</v>
      </c>
      <c r="J44" s="1517" t="str">
        <f>INDEX(TEMPLATE_DATA_POINT_FHD,B44,MATCH(TEMPLATE_SPHERE,TEMPLATE_SPHERE_LIST_FOR_NOTE,0))</f>
        <v>Расходы на текущий ремонт</v>
      </c>
      <c r="K44" s="1517" t="str">
        <f>INDEX(TEMPLATE_NOTE_POINT_FHD,B44,MATCH(TEMPLATE_SPHERE,TEMPLATE_SPHERE_LIST_FOR_NOTE,0))</f>
        <v>Указываются расходы на текущий ремонт, отнесенные к общехозяйственным расходам.</v>
      </c>
      <c r="L44" s="1356" t="str">
        <f>IF(I44=0,"",I44)</f>
        <v>2.9.1</v>
      </c>
      <c r="M44" s="1356" t="str">
        <f>IF(J44=0,"",J44)</f>
        <v>Расходы на текущий ремонт</v>
      </c>
      <c r="N44" s="1356" t="str">
        <f>IF(K44=0,"",K44)</f>
        <v>Указываются расходы на текущий ремонт, отнесенные к общехозяйственным расходам.</v>
      </c>
      <c r="O44" s="1469" t="s">
        <v>2250</v>
      </c>
      <c r="P44" s="1469" t="s">
        <v>2251</v>
      </c>
      <c r="Q44" s="1469" t="s">
        <v>2250</v>
      </c>
      <c r="R44" s="1469" t="s">
        <v>2251</v>
      </c>
      <c r="S44" s="1469"/>
      <c r="T44" s="1355" t="s">
        <v>2240</v>
      </c>
      <c r="U44" s="1355" t="s">
        <v>2240</v>
      </c>
      <c r="V44" s="1355" t="s">
        <v>2240</v>
      </c>
      <c r="W44" s="1355" t="s">
        <v>2240</v>
      </c>
      <c r="X44" s="1355"/>
      <c r="Y44" s="1512"/>
      <c r="Z44" s="1358" t="s">
        <v>2252</v>
      </c>
      <c r="AA44" s="1358" t="s">
        <v>2252</v>
      </c>
      <c r="AB44" s="1358" t="s">
        <v>2252</v>
      </c>
      <c r="AC44" s="1358" t="s">
        <v>2252</v>
      </c>
      <c r="AD44" s="1358"/>
    </row>
    <row customHeight="1" ht="27">
      <c r="A45" s="1357"/>
      <c r="B45" s="1411">
        <v>28</v>
      </c>
      <c r="C45" s="1355" t="s">
        <v>2253</v>
      </c>
      <c r="D45" s="1479"/>
      <c r="E45" s="1355"/>
      <c r="F45" s="1355"/>
      <c r="G45" s="1355"/>
      <c r="H45" s="1403"/>
      <c r="I45" s="1517" t="str">
        <f>INDEX(TEMPLATE_NUMBER_POINT_FHD,B45,MATCH(TEMPLATE_SPHERE,TEMPLATE_SPHERE_LIST_FOR_NOTE,0))</f>
        <v>2.9.2</v>
      </c>
      <c r="J45" s="1517" t="str">
        <f>INDEX(TEMPLATE_DATA_POINT_FHD,B45,MATCH(TEMPLATE_SPHERE,TEMPLATE_SPHERE_LIST_FOR_NOTE,0))</f>
        <v>Расходы на капитальный ремонт</v>
      </c>
      <c r="K45" s="1517" t="str">
        <f>INDEX(TEMPLATE_NOTE_POINT_FHD,B45,MATCH(TEMPLATE_SPHERE,TEMPLATE_SPHERE_LIST_FOR_NOTE,0))</f>
        <v>Указываются расходы на капитальный ремонт, отнесенные к общехозяйственным расходам.</v>
      </c>
      <c r="L45" s="1356" t="str">
        <f>IF(I45=0,"",I45)</f>
        <v>2.9.2</v>
      </c>
      <c r="M45" s="1356" t="str">
        <f>IF(J45=0,"",J45)</f>
        <v>Расходы на капитальный ремонт</v>
      </c>
      <c r="N45" s="1356" t="str">
        <f>IF(K45=0,"",K45)</f>
        <v>Указываются расходы на капитальный ремонт, отнесенные к общехозяйственным расходам.</v>
      </c>
      <c r="O45" s="1469" t="s">
        <v>2254</v>
      </c>
      <c r="P45" s="1469" t="s">
        <v>2255</v>
      </c>
      <c r="Q45" s="1469" t="s">
        <v>2254</v>
      </c>
      <c r="R45" s="1469" t="s">
        <v>2255</v>
      </c>
      <c r="S45" s="1469"/>
      <c r="T45" s="1355" t="s">
        <v>2244</v>
      </c>
      <c r="U45" s="1355" t="s">
        <v>2244</v>
      </c>
      <c r="V45" s="1355" t="s">
        <v>2244</v>
      </c>
      <c r="W45" s="1355" t="s">
        <v>2244</v>
      </c>
      <c r="X45" s="1355"/>
      <c r="Y45" s="1512"/>
      <c r="Z45" s="1358" t="s">
        <v>2256</v>
      </c>
      <c r="AA45" s="1358" t="s">
        <v>2256</v>
      </c>
      <c r="AB45" s="1358" t="s">
        <v>2256</v>
      </c>
      <c r="AC45" s="1358" t="s">
        <v>2256</v>
      </c>
      <c r="AD45" s="1358"/>
    </row>
    <row customHeight="1" ht="54">
      <c r="A46" s="1357"/>
      <c r="B46" s="1411">
        <v>29</v>
      </c>
      <c r="C46" s="1355">
        <v>15</v>
      </c>
      <c r="D46" s="1479"/>
      <c r="E46" s="1355"/>
      <c r="F46" s="1355"/>
      <c r="G46" s="1355"/>
      <c r="H46" s="1403"/>
      <c r="I46" s="1517" t="str">
        <f>INDEX(TEMPLATE_NUMBER_POINT_FHD,B46,MATCH(TEMPLATE_SPHERE,TEMPLATE_SPHERE_LIST_FOR_NOTE,0))</f>
        <v>2.10</v>
      </c>
      <c r="J46" s="1517" t="str">
        <f>INDEX(TEMPLATE_DATA_POINT_FHD,B46,MATCH(TEMPLATE_SPHERE,TEMPLATE_SPHERE_LIST_FOR_NOTE,0))</f>
        <v>Расходы на капитальный и текущий ремонт основных средств</v>
      </c>
      <c r="K46" s="1517"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6" t="str">
        <f>IF(I46=0,"",I46)</f>
        <v>2.10</v>
      </c>
      <c r="M46" s="1356" t="str">
        <f>IF(J46=0,"",J46)</f>
        <v>Расходы на капитальный и текущий ремонт основных средств</v>
      </c>
      <c r="N46" s="1356"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9" t="s">
        <v>2257</v>
      </c>
      <c r="P46" s="1469" t="s">
        <v>2235</v>
      </c>
      <c r="Q46" s="1469" t="s">
        <v>2257</v>
      </c>
      <c r="R46" s="1469" t="s">
        <v>2235</v>
      </c>
      <c r="S46" s="1469"/>
      <c r="T46" s="135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355" t="s">
        <v>2258</v>
      </c>
      <c r="V46" s="1355" t="s">
        <v>2258</v>
      </c>
      <c r="W46" s="1355" t="s">
        <v>2258</v>
      </c>
      <c r="X46" s="1355"/>
      <c r="Y46" s="1512"/>
      <c r="Z46" s="1358" t="s">
        <v>2259</v>
      </c>
      <c r="AA46" s="1358" t="s">
        <v>2260</v>
      </c>
      <c r="AB46" s="1358" t="s">
        <v>2260</v>
      </c>
      <c r="AC46" s="1358" t="s">
        <v>2260</v>
      </c>
      <c r="AD46" s="1358"/>
    </row>
    <row customHeight="1" ht="54">
      <c r="A47" s="1357"/>
      <c r="B47" s="1411">
        <v>30</v>
      </c>
      <c r="C47" s="1355" t="s">
        <v>2261</v>
      </c>
      <c r="D47" s="1479"/>
      <c r="E47" s="1355"/>
      <c r="F47" s="1355"/>
      <c r="G47" s="1355"/>
      <c r="H47" s="1403"/>
      <c r="I47" s="1517" t="str">
        <f>INDEX(TEMPLATE_NUMBER_POINT_FHD,B47,MATCH(TEMPLATE_SPHERE,TEMPLATE_SPHERE_LIST_FOR_NOTE,0))</f>
        <v>2.10.1</v>
      </c>
      <c r="J47" s="151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7">
        <f>INDEX(TEMPLATE_NOTE_POINT_FHD,B47,MATCH(TEMPLATE_SPHERE,TEMPLATE_SPHERE_LIST_FOR_NOTE,0))</f>
        <v>0</v>
      </c>
      <c r="L47" s="1356" t="str">
        <f>IF(I47=0,"",I47)</f>
        <v>2.10.1</v>
      </c>
      <c r="M47" s="13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6" t="str">
        <f>IF(K47=0,"",K47)</f>
        <v/>
      </c>
      <c r="O47" s="1469" t="s">
        <v>2262</v>
      </c>
      <c r="P47" s="1469" t="s">
        <v>2239</v>
      </c>
      <c r="Q47" s="1469" t="s">
        <v>2262</v>
      </c>
      <c r="R47" s="1469" t="s">
        <v>2239</v>
      </c>
      <c r="S47" s="1469"/>
      <c r="T47" s="1355" t="s">
        <v>2263</v>
      </c>
      <c r="U47" s="1355" t="s">
        <v>2263</v>
      </c>
      <c r="V47" s="1355" t="s">
        <v>2263</v>
      </c>
      <c r="W47" s="1355" t="s">
        <v>2263</v>
      </c>
      <c r="X47" s="1355"/>
      <c r="Y47" s="1512"/>
      <c r="Z47" s="1358"/>
      <c r="AA47" s="1361"/>
      <c r="AB47" s="1361"/>
      <c r="AC47" s="1361"/>
      <c r="AD47" s="1358"/>
    </row>
    <row customHeight="1" ht="54">
      <c r="A48" s="1357"/>
      <c r="B48" s="1411">
        <v>31</v>
      </c>
      <c r="C48" s="1355">
        <v>16</v>
      </c>
      <c r="D48" s="1479"/>
      <c r="E48" s="1355"/>
      <c r="F48" s="1355"/>
      <c r="G48" s="1355"/>
      <c r="H48" s="1403"/>
      <c r="I48" s="1517" t="str">
        <f>INDEX(TEMPLATE_NUMBER_POINT_FHD,B48,MATCH(TEMPLATE_SPHERE,TEMPLATE_SPHERE_LIST_FOR_NOTE,0))</f>
        <v>2.11</v>
      </c>
      <c r="J48" s="1517"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517"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356" t="str">
        <f>IF(I48=0,"",I48)</f>
        <v>2.11</v>
      </c>
      <c r="M48" s="1356"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356"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469"/>
      <c r="P48" s="1469" t="s">
        <v>2246</v>
      </c>
      <c r="Q48" s="1469" t="s">
        <v>2264</v>
      </c>
      <c r="R48" s="1469" t="s">
        <v>2246</v>
      </c>
      <c r="S48" s="1469"/>
      <c r="T48" s="1355"/>
      <c r="U48" s="1355" t="s">
        <v>2265</v>
      </c>
      <c r="V48" s="1355" t="s">
        <v>2266</v>
      </c>
      <c r="W48" s="1355" t="s">
        <v>2266</v>
      </c>
      <c r="X48" s="1355"/>
      <c r="Y48" s="1512"/>
      <c r="Z48" s="1358"/>
      <c r="AA48" s="1361" t="s">
        <v>2260</v>
      </c>
      <c r="AB48" s="1361" t="s">
        <v>2260</v>
      </c>
      <c r="AC48" s="1361" t="s">
        <v>2260</v>
      </c>
      <c r="AD48" s="1358"/>
    </row>
    <row customHeight="1" ht="54">
      <c r="A49" s="1357"/>
      <c r="B49" s="1411">
        <v>32</v>
      </c>
      <c r="C49" s="1355" t="s">
        <v>2267</v>
      </c>
      <c r="D49" s="1479"/>
      <c r="E49" s="1355"/>
      <c r="F49" s="1355"/>
      <c r="G49" s="1355"/>
      <c r="H49" s="1403"/>
      <c r="I49" s="1517" t="str">
        <f>INDEX(TEMPLATE_NUMBER_POINT_FHD,B49,MATCH(TEMPLATE_SPHERE,TEMPLATE_SPHERE_LIST_FOR_NOTE,0))</f>
        <v>2.11.1</v>
      </c>
      <c r="J49" s="1517"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517">
        <f>INDEX(TEMPLATE_NOTE_POINT_FHD,B49,MATCH(TEMPLATE_SPHERE,TEMPLATE_SPHERE_LIST_FOR_NOTE,0))</f>
        <v>0</v>
      </c>
      <c r="L49" s="1356" t="str">
        <f>IF(I49=0,"",I49)</f>
        <v>2.11.1</v>
      </c>
      <c r="M49" s="1356"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356" t="str">
        <f>IF(K49=0,"",K49)</f>
        <v/>
      </c>
      <c r="O49" s="1469"/>
      <c r="P49" s="1469" t="s">
        <v>2250</v>
      </c>
      <c r="Q49" s="1469" t="s">
        <v>2268</v>
      </c>
      <c r="R49" s="1469" t="s">
        <v>2250</v>
      </c>
      <c r="S49" s="1469"/>
      <c r="T49" s="1355"/>
      <c r="U49" s="1355" t="s">
        <v>2263</v>
      </c>
      <c r="V49" s="1355" t="s">
        <v>2263</v>
      </c>
      <c r="W49" s="1355" t="s">
        <v>2263</v>
      </c>
      <c r="X49" s="1355"/>
      <c r="Y49" s="1512"/>
      <c r="Z49" s="1358"/>
      <c r="AA49" s="1361"/>
      <c r="AB49" s="1361"/>
      <c r="AC49" s="1361"/>
      <c r="AD49" s="1358"/>
    </row>
    <row customHeight="1" ht="126">
      <c r="A50" s="1357"/>
      <c r="B50" s="1411">
        <v>33</v>
      </c>
      <c r="C50" s="1355">
        <v>17</v>
      </c>
      <c r="D50" s="1479"/>
      <c r="E50" s="1355"/>
      <c r="F50" s="1355"/>
      <c r="G50" s="1355"/>
      <c r="H50" s="1403"/>
      <c r="I50" s="1517" t="str">
        <f>INDEX(TEMPLATE_NUMBER_POINT_FHD,B50,MATCH(TEMPLATE_SPHERE,TEMPLATE_SPHERE_LIST_FOR_NOTE,0))</f>
        <v>2.12</v>
      </c>
      <c r="J50" s="1517"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51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356" t="str">
        <f>IF(I50=0,"",I50)</f>
        <v>2.12</v>
      </c>
      <c r="M50" s="1356"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356"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469" t="s">
        <v>2264</v>
      </c>
      <c r="P50" s="1469" t="s">
        <v>2257</v>
      </c>
      <c r="Q50" s="1469" t="s">
        <v>2269</v>
      </c>
      <c r="R50" s="1469" t="s">
        <v>2257</v>
      </c>
      <c r="S50" s="1469"/>
      <c r="T50" s="1355" t="s">
        <v>2270</v>
      </c>
      <c r="U50" s="1355" t="s">
        <v>2271</v>
      </c>
      <c r="V50" s="1355" t="s">
        <v>2272</v>
      </c>
      <c r="W50" s="1355" t="s">
        <v>2273</v>
      </c>
      <c r="X50" s="1355"/>
      <c r="Y50" s="1512"/>
      <c r="Z50" s="1358" t="s">
        <v>2274</v>
      </c>
      <c r="AA50" s="1361" t="s">
        <v>2275</v>
      </c>
      <c r="AB50" s="1361" t="s">
        <v>2275</v>
      </c>
      <c r="AC50" s="1361" t="s">
        <v>2275</v>
      </c>
      <c r="AD50" s="1358"/>
    </row>
    <row customHeight="1" ht="27">
      <c r="A51" s="1357"/>
      <c r="B51" s="1411">
        <v>34</v>
      </c>
      <c r="C51" s="1355" t="s">
        <v>2276</v>
      </c>
      <c r="D51" s="1479"/>
      <c r="E51" s="1355"/>
      <c r="F51" s="1355"/>
      <c r="G51" s="1355"/>
      <c r="H51" s="1403"/>
      <c r="I51" s="1517">
        <f>INDEX(TEMPLATE_NUMBER_POINT_FHD,B51,MATCH(TEMPLATE_SPHERE,TEMPLATE_SPHERE_LIST_FOR_NOTE,0))</f>
        <v>0</v>
      </c>
      <c r="J51" s="1517">
        <f>INDEX(TEMPLATE_DATA_POINT_FHD,B51,MATCH(TEMPLATE_SPHERE,TEMPLATE_SPHERE_LIST_FOR_NOTE,0))</f>
        <v>0</v>
      </c>
      <c r="K51" s="1517">
        <f>INDEX(TEMPLATE_NOTE_POINT_FHD,B51,MATCH(TEMPLATE_SPHERE,TEMPLATE_SPHERE_LIST_FOR_NOTE,0))</f>
        <v>0</v>
      </c>
      <c r="L51" s="1356" t="str">
        <f>IF(I51=0,"",I51)</f>
        <v/>
      </c>
      <c r="M51" s="1356" t="str">
        <f>IF(J51=0,"",J51)</f>
        <v/>
      </c>
      <c r="N51" s="1356" t="str">
        <f>IF(K51=0,"",K51)</f>
        <v/>
      </c>
      <c r="O51" s="1469" t="s">
        <v>92</v>
      </c>
      <c r="P51" s="1469"/>
      <c r="Q51" s="1469"/>
      <c r="R51" s="1469"/>
      <c r="S51" s="1469"/>
      <c r="T51" s="1355" t="s">
        <v>2277</v>
      </c>
      <c r="U51" s="1355"/>
      <c r="V51" s="1355"/>
      <c r="W51" s="1355"/>
      <c r="X51" s="1355"/>
      <c r="Y51" s="1512"/>
      <c r="Z51" s="1358"/>
      <c r="AA51" s="1361"/>
      <c r="AB51" s="1361"/>
      <c r="AC51" s="1361"/>
      <c r="AD51" s="1358"/>
    </row>
    <row customHeight="1" ht="36">
      <c r="A52" s="1357"/>
      <c r="B52" s="1411">
        <v>35</v>
      </c>
      <c r="C52" s="1355" t="s">
        <v>2170</v>
      </c>
      <c r="D52" s="1479" t="s">
        <v>2170</v>
      </c>
      <c r="E52" s="1355" t="s">
        <v>2170</v>
      </c>
      <c r="F52" s="1355" t="s">
        <v>2170</v>
      </c>
      <c r="G52" s="1355"/>
      <c r="H52" s="1403"/>
      <c r="I52" s="1517" t="str">
        <f>INDEX(TEMPLATE_NUMBER_POINT_FHD,B52,MATCH(TEMPLATE_SPHERE,TEMPLATE_SPHERE_LIST_FOR_NOTE,0))</f>
        <v>3</v>
      </c>
      <c r="J52" s="1517"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517" t="str">
        <f>INDEX(TEMPLATE_NOTE_POINT_FHD,B52,MATCH(TEMPLATE_SPHERE,TEMPLATE_SPHERE_LIST_FOR_NOTE,0))</f>
        <v>Указывается общая сумма чистой прибыли, полученной от регулируемого вида деятельности.</v>
      </c>
      <c r="L52" s="1356" t="str">
        <f>IF(I52=0,"",I52)</f>
        <v>3</v>
      </c>
      <c r="M52" s="1356" t="str">
        <f>IF(J52=0,"",J52)</f>
        <v>Чистая прибыль, полученная от регулируемого вида деятельности в сфере холодного водоснабжения, в том числе:</v>
      </c>
      <c r="N52" s="1356" t="str">
        <f>IF(K52=0,"",K52)</f>
        <v>Указывается общая сумма чистой прибыли, полученной от регулируемого вида деятельности.</v>
      </c>
      <c r="O52" s="1469" t="s">
        <v>93</v>
      </c>
      <c r="P52" s="1469" t="s">
        <v>92</v>
      </c>
      <c r="Q52" s="1469" t="s">
        <v>92</v>
      </c>
      <c r="R52" s="1469" t="s">
        <v>92</v>
      </c>
      <c r="S52" s="1469"/>
      <c r="T52" s="1355" t="s">
        <v>2278</v>
      </c>
      <c r="U52" s="1355" t="s">
        <v>2279</v>
      </c>
      <c r="V52" s="1355" t="s">
        <v>2280</v>
      </c>
      <c r="W52" s="1355" t="s">
        <v>2281</v>
      </c>
      <c r="X52" s="1355"/>
      <c r="Y52" s="1512"/>
      <c r="Z52" s="1358" t="s">
        <v>887</v>
      </c>
      <c r="AA52" s="1361" t="s">
        <v>887</v>
      </c>
      <c r="AB52" s="1361" t="s">
        <v>887</v>
      </c>
      <c r="AC52" s="1361" t="s">
        <v>887</v>
      </c>
      <c r="AD52" s="1358"/>
    </row>
    <row customHeight="1" ht="36">
      <c r="A53" s="1357"/>
      <c r="B53" s="1411">
        <v>36</v>
      </c>
      <c r="C53" s="1355">
        <v>1</v>
      </c>
      <c r="D53" s="1479"/>
      <c r="E53" s="1355"/>
      <c r="F53" s="1355"/>
      <c r="G53" s="1355"/>
      <c r="H53" s="1403"/>
      <c r="I53" s="1517" t="str">
        <f>INDEX(TEMPLATE_NUMBER_POINT_FHD,B53,MATCH(TEMPLATE_SPHERE,TEMPLATE_SPHERE_LIST_FOR_NOTE,0))</f>
        <v>3.1</v>
      </c>
      <c r="J53" s="151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7">
        <f>INDEX(TEMPLATE_NOTE_POINT_FHD,B53,MATCH(TEMPLATE_SPHERE,TEMPLATE_SPHERE_LIST_FOR_NOTE,0))</f>
        <v>0</v>
      </c>
      <c r="L53" s="1356" t="str">
        <f>IF(I53=0,"",I53)</f>
        <v>3.1</v>
      </c>
      <c r="M53" s="13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6" t="str">
        <f>IF(K53=0,"",K53)</f>
        <v/>
      </c>
      <c r="O53" s="1469" t="s">
        <v>891</v>
      </c>
      <c r="P53" s="1469" t="s">
        <v>463</v>
      </c>
      <c r="Q53" s="1469" t="s">
        <v>463</v>
      </c>
      <c r="R53" s="1469" t="s">
        <v>463</v>
      </c>
      <c r="S53" s="1469"/>
      <c r="T53" s="1355" t="s">
        <v>2282</v>
      </c>
      <c r="U53" s="1355" t="s">
        <v>2282</v>
      </c>
      <c r="V53" s="1355" t="s">
        <v>2282</v>
      </c>
      <c r="W53" s="1355" t="s">
        <v>2282</v>
      </c>
      <c r="X53" s="1355"/>
      <c r="Y53" s="1512"/>
      <c r="Z53" s="1358"/>
      <c r="AA53" s="1361"/>
      <c r="AB53" s="1358"/>
      <c r="AC53" s="1358"/>
      <c r="AD53" s="1358"/>
    </row>
    <row customHeight="1" ht="18">
      <c r="A54" s="1357"/>
      <c r="B54" s="1411">
        <v>37</v>
      </c>
      <c r="C54" s="1355" t="s">
        <v>2176</v>
      </c>
      <c r="D54" s="1479" t="s">
        <v>2176</v>
      </c>
      <c r="E54" s="1355" t="s">
        <v>2176</v>
      </c>
      <c r="F54" s="1355" t="s">
        <v>2176</v>
      </c>
      <c r="G54" s="1355"/>
      <c r="H54" s="1403"/>
      <c r="I54" s="1517" t="str">
        <f>INDEX(TEMPLATE_NUMBER_POINT_FHD,B54,MATCH(TEMPLATE_SPHERE,TEMPLATE_SPHERE_LIST_FOR_NOTE,0))</f>
        <v>4</v>
      </c>
      <c r="J54" s="1517" t="str">
        <f>INDEX(TEMPLATE_DATA_POINT_FHD,B54,MATCH(TEMPLATE_SPHERE,TEMPLATE_SPHERE_LIST_FOR_NOTE,0))</f>
        <v>Изменение стоимости основных фондов, в том числе:</v>
      </c>
      <c r="K54" s="1517" t="str">
        <f>INDEX(TEMPLATE_NOTE_POINT_FHD,B54,MATCH(TEMPLATE_SPHERE,TEMPLATE_SPHERE_LIST_FOR_NOTE,0))</f>
        <v>Указывается общее изменение стоимости основных фондов.</v>
      </c>
      <c r="L54" s="1356" t="str">
        <f>IF(I54=0,"",I54)</f>
        <v>4</v>
      </c>
      <c r="M54" s="1356" t="str">
        <f>IF(J54=0,"",J54)</f>
        <v>Изменение стоимости основных фондов, в том числе:</v>
      </c>
      <c r="N54" s="1356" t="str">
        <f>IF(K54=0,"",K54)</f>
        <v>Указывается общее изменение стоимости основных фондов.</v>
      </c>
      <c r="O54" s="1469" t="s">
        <v>121</v>
      </c>
      <c r="P54" s="1469" t="s">
        <v>93</v>
      </c>
      <c r="Q54" s="1469" t="s">
        <v>93</v>
      </c>
      <c r="R54" s="1469" t="s">
        <v>93</v>
      </c>
      <c r="S54" s="1469"/>
      <c r="T54" s="1355" t="s">
        <v>889</v>
      </c>
      <c r="U54" s="1355" t="s">
        <v>889</v>
      </c>
      <c r="V54" s="1355" t="s">
        <v>889</v>
      </c>
      <c r="W54" s="1355" t="s">
        <v>889</v>
      </c>
      <c r="X54" s="1355"/>
      <c r="Y54" s="1512"/>
      <c r="Z54" s="1358" t="s">
        <v>890</v>
      </c>
      <c r="AA54" s="1358" t="s">
        <v>890</v>
      </c>
      <c r="AB54" s="1358" t="s">
        <v>890</v>
      </c>
      <c r="AC54" s="1358" t="s">
        <v>890</v>
      </c>
      <c r="AD54" s="1358"/>
    </row>
    <row customHeight="1" ht="36">
      <c r="A55" s="1357"/>
      <c r="B55" s="1411">
        <v>38</v>
      </c>
      <c r="C55" s="1355">
        <v>1</v>
      </c>
      <c r="D55" s="1479"/>
      <c r="E55" s="1355"/>
      <c r="F55" s="1355"/>
      <c r="G55" s="1355"/>
      <c r="H55" s="1403"/>
      <c r="I55" s="1517" t="str">
        <f>INDEX(TEMPLATE_NUMBER_POINT_FHD,B55,MATCH(TEMPLATE_SPHERE,TEMPLATE_SPHERE_LIST_FOR_NOTE,0))</f>
        <v>4.1</v>
      </c>
      <c r="J55" s="1517" t="str">
        <f>INDEX(TEMPLATE_DATA_POINT_FHD,B55,MATCH(TEMPLATE_SPHERE,TEMPLATE_SPHERE_LIST_FOR_NOTE,0))</f>
        <v>Изменение стоимости основных фондов за счет их ввода в эксплуатацию (вывода из эксплуатации)</v>
      </c>
      <c r="K55" s="151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6" t="str">
        <f>IF(I55=0,"",I55)</f>
        <v>4.1</v>
      </c>
      <c r="M55" s="1356" t="str">
        <f>IF(J55=0,"",J55)</f>
        <v>Изменение стоимости основных фондов за счет их ввода в эксплуатацию (вывода из эксплуатации)</v>
      </c>
      <c r="N55" s="1356" t="str">
        <f>IF(K55=0,"",K55)</f>
        <v>Указываются общее изменение стоимости основных фондов за счет их ввода в эксплуатацию и вывода из эксплуатации.</v>
      </c>
      <c r="O55" s="1469" t="s">
        <v>452</v>
      </c>
      <c r="P55" s="1469" t="s">
        <v>891</v>
      </c>
      <c r="Q55" s="1469" t="s">
        <v>891</v>
      </c>
      <c r="R55" s="1469" t="s">
        <v>891</v>
      </c>
      <c r="S55" s="1469"/>
      <c r="T55" s="135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355" t="s">
        <v>2283</v>
      </c>
      <c r="V55" s="1355" t="s">
        <v>2283</v>
      </c>
      <c r="W55" s="1355" t="s">
        <v>2283</v>
      </c>
      <c r="X55" s="1355"/>
      <c r="Y55" s="1512"/>
      <c r="Z55" s="1358" t="s">
        <v>2284</v>
      </c>
      <c r="AA55" s="1358" t="s">
        <v>2284</v>
      </c>
      <c r="AB55" s="1358" t="s">
        <v>2284</v>
      </c>
      <c r="AC55" s="1358" t="s">
        <v>2284</v>
      </c>
      <c r="AD55" s="1358"/>
    </row>
    <row customHeight="1" ht="27">
      <c r="A56" s="1357"/>
      <c r="B56" s="1411">
        <v>39</v>
      </c>
      <c r="C56" s="1355" t="s">
        <v>1159</v>
      </c>
      <c r="D56" s="1479"/>
      <c r="E56" s="1355"/>
      <c r="F56" s="1355"/>
      <c r="G56" s="1355"/>
      <c r="H56" s="1403"/>
      <c r="I56" s="1517" t="str">
        <f>INDEX(TEMPLATE_NUMBER_POINT_FHD,B56,MATCH(TEMPLATE_SPHERE,TEMPLATE_SPHERE_LIST_FOR_NOTE,0))</f>
        <v>4.1.1</v>
      </c>
      <c r="J56" s="1517" t="str">
        <f>INDEX(TEMPLATE_DATA_POINT_FHD,B56,MATCH(TEMPLATE_SPHERE,TEMPLATE_SPHERE_LIST_FOR_NOTE,0))</f>
        <v>Изменение стоимости основных фондов за счет их ввода в эксплуатацию</v>
      </c>
      <c r="K56" s="1517" t="str">
        <f>INDEX(TEMPLATE_NOTE_POINT_FHD,B56,MATCH(TEMPLATE_SPHERE,TEMPLATE_SPHERE_LIST_FOR_NOTE,0))</f>
        <v>Указываются изменение стоимости основных фондов за счет их ввода в эксплуатацию.</v>
      </c>
      <c r="L56" s="1356" t="str">
        <f>IF(I56=0,"",I56)</f>
        <v>4.1.1</v>
      </c>
      <c r="M56" s="1356" t="str">
        <f>IF(J56=0,"",J56)</f>
        <v>Изменение стоимости основных фондов за счет их ввода в эксплуатацию</v>
      </c>
      <c r="N56" s="1356" t="str">
        <f>IF(K56=0,"",K56)</f>
        <v>Указываются изменение стоимости основных фондов за счет их ввода в эксплуатацию.</v>
      </c>
      <c r="O56" s="1469" t="s">
        <v>1280</v>
      </c>
      <c r="P56" s="1469" t="s">
        <v>894</v>
      </c>
      <c r="Q56" s="1469" t="s">
        <v>894</v>
      </c>
      <c r="R56" s="1469" t="s">
        <v>894</v>
      </c>
      <c r="S56" s="1469"/>
      <c r="T56" s="135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355" t="s">
        <v>2285</v>
      </c>
      <c r="V56" s="1355" t="s">
        <v>2285</v>
      </c>
      <c r="W56" s="1355" t="s">
        <v>2285</v>
      </c>
      <c r="X56" s="1355"/>
      <c r="Y56" s="1512"/>
      <c r="Z56" s="1358" t="s">
        <v>896</v>
      </c>
      <c r="AA56" s="1358" t="s">
        <v>896</v>
      </c>
      <c r="AB56" s="1358" t="s">
        <v>896</v>
      </c>
      <c r="AC56" s="1358" t="s">
        <v>896</v>
      </c>
      <c r="AD56" s="1358"/>
    </row>
    <row customHeight="1" ht="27">
      <c r="A57" s="1357"/>
      <c r="B57" s="1411">
        <v>40</v>
      </c>
      <c r="C57" s="1355" t="s">
        <v>1161</v>
      </c>
      <c r="D57" s="1479"/>
      <c r="E57" s="1355"/>
      <c r="F57" s="1355"/>
      <c r="G57" s="1355"/>
      <c r="H57" s="1403"/>
      <c r="I57" s="1517" t="str">
        <f>INDEX(TEMPLATE_NUMBER_POINT_FHD,B57,MATCH(TEMPLATE_SPHERE,TEMPLATE_SPHERE_LIST_FOR_NOTE,0))</f>
        <v>4.1.2</v>
      </c>
      <c r="J57" s="1517" t="str">
        <f>INDEX(TEMPLATE_DATA_POINT_FHD,B57,MATCH(TEMPLATE_SPHERE,TEMPLATE_SPHERE_LIST_FOR_NOTE,0))</f>
        <v>Изменение стоимости основных фондов за счет их вывода в эксплуатацию</v>
      </c>
      <c r="K57" s="1517" t="str">
        <f>INDEX(TEMPLATE_NOTE_POINT_FHD,B57,MATCH(TEMPLATE_SPHERE,TEMPLATE_SPHERE_LIST_FOR_NOTE,0))</f>
        <v>Указываются изменение стоимости основных фондов за счет их вывода из эксплуатации.</v>
      </c>
      <c r="L57" s="1356" t="str">
        <f>IF(I57=0,"",I57)</f>
        <v>4.1.2</v>
      </c>
      <c r="M57" s="1356" t="str">
        <f>IF(J57=0,"",J57)</f>
        <v>Изменение стоимости основных фондов за счет их вывода в эксплуатацию</v>
      </c>
      <c r="N57" s="1356" t="str">
        <f>IF(K57=0,"",K57)</f>
        <v>Указываются изменение стоимости основных фондов за счет их вывода из эксплуатации.</v>
      </c>
      <c r="O57" s="1469" t="s">
        <v>2286</v>
      </c>
      <c r="P57" s="1469" t="s">
        <v>897</v>
      </c>
      <c r="Q57" s="1469" t="s">
        <v>897</v>
      </c>
      <c r="R57" s="1469" t="s">
        <v>897</v>
      </c>
      <c r="S57" s="1469"/>
      <c r="T57" s="135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355" t="s">
        <v>2287</v>
      </c>
      <c r="V57" s="1355" t="s">
        <v>2287</v>
      </c>
      <c r="W57" s="1355" t="s">
        <v>2287</v>
      </c>
      <c r="X57" s="1355"/>
      <c r="Y57" s="1512"/>
      <c r="Z57" s="1358" t="s">
        <v>899</v>
      </c>
      <c r="AA57" s="1358" t="s">
        <v>899</v>
      </c>
      <c r="AB57" s="1358" t="s">
        <v>899</v>
      </c>
      <c r="AC57" s="1358" t="s">
        <v>899</v>
      </c>
      <c r="AD57" s="1358"/>
    </row>
    <row customHeight="1" ht="18">
      <c r="A58" s="1357"/>
      <c r="B58" s="1411">
        <v>41</v>
      </c>
      <c r="C58" s="1355">
        <v>2</v>
      </c>
      <c r="D58" s="1479"/>
      <c r="E58" s="1355"/>
      <c r="F58" s="1355"/>
      <c r="G58" s="1355"/>
      <c r="H58" s="1403"/>
      <c r="I58" s="1517" t="str">
        <f>INDEX(TEMPLATE_NUMBER_POINT_FHD,B58,MATCH(TEMPLATE_SPHERE,TEMPLATE_SPHERE_LIST_FOR_NOTE,0))</f>
        <v>4.2</v>
      </c>
      <c r="J58" s="1517" t="str">
        <f>INDEX(TEMPLATE_DATA_POINT_FHD,B58,MATCH(TEMPLATE_SPHERE,TEMPLATE_SPHERE_LIST_FOR_NOTE,0))</f>
        <v>Изменение стоимости основных фондов за счет их переоценки</v>
      </c>
      <c r="K58" s="1517">
        <f>INDEX(TEMPLATE_NOTE_POINT_FHD,B58,MATCH(TEMPLATE_SPHERE,TEMPLATE_SPHERE_LIST_FOR_NOTE,0))</f>
        <v>0</v>
      </c>
      <c r="L58" s="1356" t="str">
        <f>IF(I58=0,"",I58)</f>
        <v>4.2</v>
      </c>
      <c r="M58" s="1356" t="str">
        <f>IF(J58=0,"",J58)</f>
        <v>Изменение стоимости основных фондов за счет их переоценки</v>
      </c>
      <c r="N58" s="1356" t="str">
        <f>IF(K58=0,"",K58)</f>
        <v/>
      </c>
      <c r="O58" s="1469" t="s">
        <v>1019</v>
      </c>
      <c r="P58" s="1469" t="s">
        <v>933</v>
      </c>
      <c r="Q58" s="1469" t="s">
        <v>933</v>
      </c>
      <c r="R58" s="1469" t="s">
        <v>933</v>
      </c>
      <c r="S58" s="1469"/>
      <c r="T58" s="1356" t="str">
        <f>IF(TITLE_TYPE_ORG="Регулируемая организация","Изменение стоимости основных фондов за счет их переоценки","за счет их переоценки")</f>
        <v>за счет их переоценки</v>
      </c>
      <c r="U58" s="1355" t="s">
        <v>2288</v>
      </c>
      <c r="V58" s="1355" t="s">
        <v>2288</v>
      </c>
      <c r="W58" s="1355" t="s">
        <v>2288</v>
      </c>
      <c r="X58" s="1355"/>
      <c r="Y58" s="1512"/>
      <c r="Z58" s="1358"/>
      <c r="AA58" s="1361"/>
      <c r="AB58" s="1358"/>
      <c r="AC58" s="1358"/>
      <c r="AD58" s="1358"/>
    </row>
    <row customHeight="1" ht="36">
      <c r="A59" s="1357"/>
      <c r="B59" s="1411">
        <v>42</v>
      </c>
      <c r="C59" s="1355">
        <v>3</v>
      </c>
      <c r="D59" s="1479" t="s">
        <v>2276</v>
      </c>
      <c r="E59" s="1355" t="s">
        <v>2276</v>
      </c>
      <c r="F59" s="1355" t="s">
        <v>2276</v>
      </c>
      <c r="G59" s="1355"/>
      <c r="H59" s="1403"/>
      <c r="I59" s="1517" t="str">
        <f>INDEX(TEMPLATE_NUMBER_POINT_FHD,B59,MATCH(TEMPLATE_SPHERE,TEMPLATE_SPHERE_LIST_FOR_NOTE,0))</f>
        <v>5</v>
      </c>
      <c r="J59" s="1517"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517">
        <f>INDEX(TEMPLATE_NOTE_POINT_FHD,B59,MATCH(TEMPLATE_SPHERE,TEMPLATE_SPHERE_LIST_FOR_NOTE,0))</f>
        <v>0</v>
      </c>
      <c r="L59" s="1356" t="str">
        <f>IF(I59=0,"",I59)</f>
        <v>5</v>
      </c>
      <c r="M59" s="1356" t="str">
        <f>IF(J59=0,"",J59)</f>
        <v>Валовая прибыль (убытки) от продажи товаров и услуг по регулируемым видам деятельности в сфере холодного водоснабжения</v>
      </c>
      <c r="N59" s="1356" t="str">
        <f>IF(K59=0,"",K59)</f>
        <v/>
      </c>
      <c r="O59" s="1469"/>
      <c r="P59" s="1469" t="s">
        <v>121</v>
      </c>
      <c r="Q59" s="1469" t="s">
        <v>121</v>
      </c>
      <c r="R59" s="1469" t="s">
        <v>121</v>
      </c>
      <c r="S59" s="1469"/>
      <c r="T59" s="1355"/>
      <c r="U59" s="1355" t="s">
        <v>2289</v>
      </c>
      <c r="V59" s="1355" t="s">
        <v>2290</v>
      </c>
      <c r="W59" s="1355" t="s">
        <v>2291</v>
      </c>
      <c r="X59" s="1355"/>
      <c r="Y59" s="1512"/>
      <c r="Z59" s="1358"/>
      <c r="AA59" s="1361"/>
      <c r="AB59" s="1358"/>
      <c r="AC59" s="1358"/>
      <c r="AD59" s="1358"/>
    </row>
    <row customHeight="1" ht="81">
      <c r="A60" s="1357"/>
      <c r="B60" s="1411">
        <v>43</v>
      </c>
      <c r="C60" s="1355" t="s">
        <v>2292</v>
      </c>
      <c r="D60" s="1479" t="s">
        <v>2292</v>
      </c>
      <c r="E60" s="1355" t="s">
        <v>2292</v>
      </c>
      <c r="F60" s="1355" t="s">
        <v>2292</v>
      </c>
      <c r="G60" s="1355"/>
      <c r="H60" s="1403"/>
      <c r="I60" s="1517" t="str">
        <f>INDEX(TEMPLATE_NUMBER_POINT_FHD,B60,MATCH(TEMPLATE_SPHERE,TEMPLATE_SPHERE_LIST_FOR_NOTE,0))</f>
        <v>6</v>
      </c>
      <c r="J60" s="1517"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7"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356" t="str">
        <f>IF(I60=0,"",I60)</f>
        <v>6</v>
      </c>
      <c r="M60" s="1356" t="str">
        <f>IF(J60=0,"",J60)</f>
        <v>Годовая бухгалтерская (финансовая) отчетность, включая бухгалтерский баланс и приложения к нему</v>
      </c>
      <c r="N60" s="1356"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469" t="s">
        <v>94</v>
      </c>
      <c r="P60" s="1469" t="s">
        <v>94</v>
      </c>
      <c r="Q60" s="1469" t="s">
        <v>94</v>
      </c>
      <c r="R60" s="1469" t="s">
        <v>94</v>
      </c>
      <c r="S60" s="1469"/>
      <c r="T60" s="1355" t="s">
        <v>767</v>
      </c>
      <c r="U60" s="1355" t="s">
        <v>767</v>
      </c>
      <c r="V60" s="1355" t="s">
        <v>767</v>
      </c>
      <c r="W60" s="1355" t="s">
        <v>767</v>
      </c>
      <c r="X60" s="1355"/>
      <c r="Y60" s="1512"/>
      <c r="Z60" s="1358" t="s">
        <v>2293</v>
      </c>
      <c r="AA60" s="1361" t="s">
        <v>2294</v>
      </c>
      <c r="AB60" s="1358" t="s">
        <v>2295</v>
      </c>
      <c r="AC60" s="1358" t="s">
        <v>2294</v>
      </c>
      <c r="AD60" s="1358"/>
    </row>
    <row customHeight="1" ht="9">
      <c r="A61" s="1357"/>
      <c r="B61" s="1411">
        <v>44</v>
      </c>
      <c r="C61" s="1355"/>
      <c r="D61" s="1479" t="s">
        <v>2296</v>
      </c>
      <c r="E61" s="1355"/>
      <c r="F61" s="1355"/>
      <c r="G61" s="1355"/>
      <c r="H61" s="1403"/>
      <c r="I61" s="1517" t="str">
        <f>INDEX(TEMPLATE_NUMBER_POINT_FHD,B61,MATCH(TEMPLATE_SPHERE,TEMPLATE_SPHERE_LIST_FOR_NOTE,0))</f>
        <v>7</v>
      </c>
      <c r="J61" s="1517" t="str">
        <f>INDEX(TEMPLATE_DATA_POINT_FHD,B61,MATCH(TEMPLATE_SPHERE,TEMPLATE_SPHERE_LIST_FOR_NOTE,0))</f>
        <v>Объём поднятой воды</v>
      </c>
      <c r="K61" s="1517">
        <f>INDEX(TEMPLATE_NOTE_POINT_FHD,B61,MATCH(TEMPLATE_SPHERE,TEMPLATE_SPHERE_LIST_FOR_NOTE,0))</f>
        <v>0</v>
      </c>
      <c r="L61" s="1356" t="str">
        <f>IF(I61=0,"",I61)</f>
        <v>7</v>
      </c>
      <c r="M61" s="1356" t="str">
        <f>IF(J61=0,"",J61)</f>
        <v>Объём поднятой воды</v>
      </c>
      <c r="N61" s="1356" t="str">
        <f>IF(K61=0,"",K61)</f>
        <v/>
      </c>
      <c r="O61" s="1469"/>
      <c r="P61" s="1469" t="s">
        <v>95</v>
      </c>
      <c r="Q61" s="1469"/>
      <c r="R61" s="1469"/>
      <c r="S61" s="1469"/>
      <c r="T61" s="1355"/>
      <c r="U61" s="1355" t="s">
        <v>2297</v>
      </c>
      <c r="V61" s="1355"/>
      <c r="W61" s="1355"/>
      <c r="X61" s="1355"/>
      <c r="Y61" s="1512"/>
      <c r="Z61" s="1358"/>
      <c r="AA61" s="1361"/>
      <c r="AB61" s="1358"/>
      <c r="AC61" s="1358"/>
      <c r="AD61" s="1358"/>
    </row>
    <row customHeight="1" ht="9">
      <c r="A62" s="1357"/>
      <c r="B62" s="1411">
        <v>45</v>
      </c>
      <c r="C62" s="1355"/>
      <c r="D62" s="1479" t="s">
        <v>2298</v>
      </c>
      <c r="E62" s="1355"/>
      <c r="F62" s="1355"/>
      <c r="G62" s="1355"/>
      <c r="H62" s="1403"/>
      <c r="I62" s="1517" t="str">
        <f>INDEX(TEMPLATE_NUMBER_POINT_FHD,B62,MATCH(TEMPLATE_SPHERE,TEMPLATE_SPHERE_LIST_FOR_NOTE,0))</f>
        <v>8</v>
      </c>
      <c r="J62" s="1517" t="str">
        <f>INDEX(TEMPLATE_DATA_POINT_FHD,B62,MATCH(TEMPLATE_SPHERE,TEMPLATE_SPHERE_LIST_FOR_NOTE,0))</f>
        <v>Объём покупной воды</v>
      </c>
      <c r="K62" s="1517">
        <f>INDEX(TEMPLATE_NOTE_POINT_FHD,B62,MATCH(TEMPLATE_SPHERE,TEMPLATE_SPHERE_LIST_FOR_NOTE,0))</f>
        <v>0</v>
      </c>
      <c r="L62" s="1356" t="str">
        <f>IF(I62=0,"",I62)</f>
        <v>8</v>
      </c>
      <c r="M62" s="1356" t="str">
        <f>IF(J62=0,"",J62)</f>
        <v>Объём покупной воды</v>
      </c>
      <c r="N62" s="1356" t="str">
        <f>IF(K62=0,"",K62)</f>
        <v/>
      </c>
      <c r="O62" s="1469"/>
      <c r="P62" s="1469" t="s">
        <v>135</v>
      </c>
      <c r="Q62" s="1469"/>
      <c r="R62" s="1469"/>
      <c r="S62" s="1469"/>
      <c r="T62" s="1355"/>
      <c r="U62" s="1355" t="s">
        <v>2299</v>
      </c>
      <c r="V62" s="1355"/>
      <c r="W62" s="1355"/>
      <c r="X62" s="1355"/>
      <c r="Y62" s="1512"/>
      <c r="Z62" s="1358"/>
      <c r="AA62" s="1361"/>
      <c r="AB62" s="1358"/>
      <c r="AC62" s="1358"/>
      <c r="AD62" s="1358"/>
    </row>
    <row customHeight="1" ht="18">
      <c r="A63" s="1357"/>
      <c r="B63" s="1411">
        <v>46</v>
      </c>
      <c r="C63" s="1355"/>
      <c r="D63" s="1479" t="s">
        <v>2300</v>
      </c>
      <c r="E63" s="1355"/>
      <c r="F63" s="1355"/>
      <c r="G63" s="1355"/>
      <c r="H63" s="1403"/>
      <c r="I63" s="1517" t="str">
        <f>INDEX(TEMPLATE_NUMBER_POINT_FHD,B63,MATCH(TEMPLATE_SPHERE,TEMPLATE_SPHERE_LIST_FOR_NOTE,0))</f>
        <v>9</v>
      </c>
      <c r="J63" s="1517" t="str">
        <f>INDEX(TEMPLATE_DATA_POINT_FHD,B63,MATCH(TEMPLATE_SPHERE,TEMPLATE_SPHERE_LIST_FOR_NOTE,0))</f>
        <v>Объём воды, пропущенной через очистные сооружения</v>
      </c>
      <c r="K63" s="1517">
        <f>INDEX(TEMPLATE_NOTE_POINT_FHD,B63,MATCH(TEMPLATE_SPHERE,TEMPLATE_SPHERE_LIST_FOR_NOTE,0))</f>
        <v>0</v>
      </c>
      <c r="L63" s="1356" t="str">
        <f>IF(I63=0,"",I63)</f>
        <v>9</v>
      </c>
      <c r="M63" s="1356" t="str">
        <f>IF(J63=0,"",J63)</f>
        <v>Объём воды, пропущенной через очистные сооружения</v>
      </c>
      <c r="N63" s="1356" t="str">
        <f>IF(K63=0,"",K63)</f>
        <v/>
      </c>
      <c r="O63" s="1469"/>
      <c r="P63" s="1469" t="s">
        <v>140</v>
      </c>
      <c r="Q63" s="1469"/>
      <c r="R63" s="1469"/>
      <c r="S63" s="1469"/>
      <c r="T63" s="1355"/>
      <c r="U63" s="1355" t="s">
        <v>2301</v>
      </c>
      <c r="V63" s="1355"/>
      <c r="W63" s="1355"/>
      <c r="X63" s="1355"/>
      <c r="Y63" s="1512"/>
      <c r="Z63" s="1358"/>
      <c r="AA63" s="1361"/>
      <c r="AB63" s="1358"/>
      <c r="AC63" s="1358"/>
      <c r="AD63" s="1358"/>
    </row>
    <row customHeight="1" ht="18">
      <c r="A64" s="1357"/>
      <c r="B64" s="1411">
        <v>47</v>
      </c>
      <c r="C64" s="1355"/>
      <c r="D64" s="1479" t="s">
        <v>2302</v>
      </c>
      <c r="E64" s="1355"/>
      <c r="F64" s="1355"/>
      <c r="G64" s="1355"/>
      <c r="H64" s="1403"/>
      <c r="I64" s="1517" t="str">
        <f>INDEX(TEMPLATE_NUMBER_POINT_FHD,B64,MATCH(TEMPLATE_SPHERE,TEMPLATE_SPHERE_LIST_FOR_NOTE,0))</f>
        <v>10</v>
      </c>
      <c r="J64" s="1517" t="str">
        <f>INDEX(TEMPLATE_DATA_POINT_FHD,B64,MATCH(TEMPLATE_SPHERE,TEMPLATE_SPHERE_LIST_FOR_NOTE,0))</f>
        <v>Объём отпущенной потребителям воды, в том числе:</v>
      </c>
      <c r="K64" s="1517" t="str">
        <f>INDEX(TEMPLATE_NOTE_POINT_FHD,B64,MATCH(TEMPLATE_SPHERE,TEMPLATE_SPHERE_LIST_FOR_NOTE,0))</f>
        <v>Указывается общий объем отпущенной потребителям воды.</v>
      </c>
      <c r="L64" s="1356" t="str">
        <f>IF(I64=0,"",I64)</f>
        <v>10</v>
      </c>
      <c r="M64" s="1356" t="str">
        <f>IF(J64=0,"",J64)</f>
        <v>Объём отпущенной потребителям воды, в том числе:</v>
      </c>
      <c r="N64" s="1356" t="str">
        <f>IF(K64=0,"",K64)</f>
        <v>Указывается общий объем отпущенной потребителям воды.</v>
      </c>
      <c r="O64" s="1469"/>
      <c r="P64" s="1469" t="s">
        <v>145</v>
      </c>
      <c r="Q64" s="1469"/>
      <c r="R64" s="1469"/>
      <c r="S64" s="1469"/>
      <c r="T64" s="1355"/>
      <c r="U64" s="1355" t="s">
        <v>2303</v>
      </c>
      <c r="V64" s="1355"/>
      <c r="W64" s="1355"/>
      <c r="X64" s="1355"/>
      <c r="Y64" s="1512"/>
      <c r="Z64" s="1358"/>
      <c r="AA64" s="1361" t="s">
        <v>2304</v>
      </c>
      <c r="AB64" s="1358"/>
      <c r="AC64" s="1358"/>
      <c r="AD64" s="1358"/>
    </row>
    <row customHeight="1" ht="18">
      <c r="A65" s="1357"/>
      <c r="B65" s="1411">
        <v>48</v>
      </c>
      <c r="C65" s="1355"/>
      <c r="D65" s="1479"/>
      <c r="E65" s="1355"/>
      <c r="F65" s="1355"/>
      <c r="G65" s="1355"/>
      <c r="H65" s="1403"/>
      <c r="I65" s="1517" t="str">
        <f>INDEX(TEMPLATE_NUMBER_POINT_FHD,B65,MATCH(TEMPLATE_SPHERE,TEMPLATE_SPHERE_LIST_FOR_NOTE,0))</f>
        <v>10.1</v>
      </c>
      <c r="J65" s="1517" t="str">
        <f>INDEX(TEMPLATE_DATA_POINT_FHD,B65,MATCH(TEMPLATE_SPHERE,TEMPLATE_SPHERE_LIST_FOR_NOTE,0))</f>
        <v>Объём отпущенной потребителям воды, определенный по приборам учета</v>
      </c>
      <c r="K65" s="1517">
        <f>INDEX(TEMPLATE_NOTE_POINT_FHD,B65,MATCH(TEMPLATE_SPHERE,TEMPLATE_SPHERE_LIST_FOR_NOTE,0))</f>
        <v>0</v>
      </c>
      <c r="L65" s="1356" t="str">
        <f>IF(I65=0,"",I65)</f>
        <v>10.1</v>
      </c>
      <c r="M65" s="1356" t="str">
        <f>IF(J65=0,"",J65)</f>
        <v>Объём отпущенной потребителям воды, определенный по приборам учета</v>
      </c>
      <c r="N65" s="1356" t="str">
        <f>IF(K65=0,"",K65)</f>
        <v/>
      </c>
      <c r="O65" s="1469"/>
      <c r="P65" s="1469" t="s">
        <v>2217</v>
      </c>
      <c r="Q65" s="1469"/>
      <c r="R65" s="1469"/>
      <c r="S65" s="1469"/>
      <c r="T65" s="1355"/>
      <c r="U65" s="1355" t="s">
        <v>2305</v>
      </c>
      <c r="V65" s="1355"/>
      <c r="W65" s="1355"/>
      <c r="X65" s="1355"/>
      <c r="Y65" s="1512"/>
      <c r="Z65" s="1358"/>
      <c r="AA65" s="1361"/>
      <c r="AB65" s="1358"/>
      <c r="AC65" s="1358"/>
      <c r="AD65" s="1358"/>
    </row>
    <row customHeight="1" ht="18">
      <c r="A66" s="1357"/>
      <c r="B66" s="1411">
        <v>49</v>
      </c>
      <c r="C66" s="1355"/>
      <c r="D66" s="1479"/>
      <c r="E66" s="1355"/>
      <c r="F66" s="1355"/>
      <c r="G66" s="1355"/>
      <c r="H66" s="1403"/>
      <c r="I66" s="1517" t="str">
        <f>INDEX(TEMPLATE_NUMBER_POINT_FHD,B66,MATCH(TEMPLATE_SPHERE,TEMPLATE_SPHERE_LIST_FOR_NOTE,0))</f>
        <v>10.2</v>
      </c>
      <c r="J66" s="1517" t="str">
        <f>INDEX(TEMPLATE_DATA_POINT_FHD,B66,MATCH(TEMPLATE_SPHERE,TEMPLATE_SPHERE_LIST_FOR_NOTE,0))</f>
        <v>Объём отпущенной потребителям воды, определенный расчетным способом</v>
      </c>
      <c r="K66" s="1517">
        <f>INDEX(TEMPLATE_NOTE_POINT_FHD,B66,MATCH(TEMPLATE_SPHERE,TEMPLATE_SPHERE_LIST_FOR_NOTE,0))</f>
        <v>0</v>
      </c>
      <c r="L66" s="1356" t="str">
        <f>IF(I66=0,"",I66)</f>
        <v>10.2</v>
      </c>
      <c r="M66" s="1356" t="str">
        <f>IF(J66=0,"",J66)</f>
        <v>Объём отпущенной потребителям воды, определенный расчетным способом</v>
      </c>
      <c r="N66" s="1356" t="str">
        <f>IF(K66=0,"",K66)</f>
        <v/>
      </c>
      <c r="O66" s="1469"/>
      <c r="P66" s="1469" t="s">
        <v>2221</v>
      </c>
      <c r="Q66" s="1469"/>
      <c r="R66" s="1469"/>
      <c r="S66" s="1469"/>
      <c r="T66" s="1355"/>
      <c r="U66" s="1355" t="s">
        <v>2306</v>
      </c>
      <c r="V66" s="1355"/>
      <c r="W66" s="1355"/>
      <c r="X66" s="1355"/>
      <c r="Y66" s="1512"/>
      <c r="Z66" s="1358"/>
      <c r="AA66" s="1361"/>
      <c r="AB66" s="1358"/>
      <c r="AC66" s="1358"/>
      <c r="AD66" s="1358"/>
    </row>
    <row customHeight="1" ht="27">
      <c r="A67" s="1357"/>
      <c r="B67" s="1411">
        <v>50</v>
      </c>
      <c r="C67" s="1355"/>
      <c r="D67" s="1479"/>
      <c r="E67" s="1355"/>
      <c r="F67" s="1355"/>
      <c r="G67" s="1355"/>
      <c r="H67" s="1403"/>
      <c r="I67" s="1517" t="str">
        <f>INDEX(TEMPLATE_NUMBER_POINT_FHD,B67,MATCH(TEMPLATE_SPHERE,TEMPLATE_SPHERE_LIST_FOR_NOTE,0))</f>
        <v>10.2.1</v>
      </c>
      <c r="J67" s="1517" t="str">
        <f>INDEX(TEMPLATE_DATA_POINT_FHD,B67,MATCH(TEMPLATE_SPHERE,TEMPLATE_SPHERE_LIST_FOR_NOTE,0))</f>
        <v>Объём отпущенной потребителям воды, определенный по нормативам потребления коммунальных услуг</v>
      </c>
      <c r="K67" s="1517">
        <f>INDEX(TEMPLATE_NOTE_POINT_FHD,B67,MATCH(TEMPLATE_SPHERE,TEMPLATE_SPHERE_LIST_FOR_NOTE,0))</f>
        <v>0</v>
      </c>
      <c r="L67" s="1356" t="str">
        <f>IF(I67=0,"",I67)</f>
        <v>10.2.1</v>
      </c>
      <c r="M67" s="1356" t="str">
        <f>IF(J67=0,"",J67)</f>
        <v>Объём отпущенной потребителям воды, определенный по нормативам потребления коммунальных услуг</v>
      </c>
      <c r="N67" s="1356" t="str">
        <f>IF(K67=0,"",K67)</f>
        <v/>
      </c>
      <c r="O67" s="1469"/>
      <c r="P67" s="1469" t="s">
        <v>2307</v>
      </c>
      <c r="Q67" s="1469"/>
      <c r="R67" s="1469"/>
      <c r="S67" s="1469"/>
      <c r="T67" s="1355"/>
      <c r="U67" s="1355" t="s">
        <v>2308</v>
      </c>
      <c r="V67" s="1355"/>
      <c r="W67" s="1355"/>
      <c r="X67" s="1355"/>
      <c r="Y67" s="1512"/>
      <c r="Z67" s="1358"/>
      <c r="AA67" s="1361"/>
      <c r="AB67" s="1358"/>
      <c r="AC67" s="1358"/>
      <c r="AD67" s="1358"/>
    </row>
    <row customHeight="1" ht="27">
      <c r="A68" s="1357"/>
      <c r="B68" s="1411">
        <v>51</v>
      </c>
      <c r="C68" s="1355"/>
      <c r="D68" s="1479"/>
      <c r="E68" s="1355"/>
      <c r="F68" s="1355"/>
      <c r="G68" s="1355"/>
      <c r="H68" s="1403"/>
      <c r="I68" s="1517" t="str">
        <f>INDEX(TEMPLATE_NUMBER_POINT_FHD,B68,MATCH(TEMPLATE_SPHERE,TEMPLATE_SPHERE_LIST_FOR_NOTE,0))</f>
        <v>10.2.2</v>
      </c>
      <c r="J68" s="1517"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517">
        <f>INDEX(TEMPLATE_NOTE_POINT_FHD,B68,MATCH(TEMPLATE_SPHERE,TEMPLATE_SPHERE_LIST_FOR_NOTE,0))</f>
        <v>0</v>
      </c>
      <c r="L68" s="1356" t="str">
        <f>IF(I68=0,"",I68)</f>
        <v>10.2.2</v>
      </c>
      <c r="M68" s="1356" t="str">
        <f>IF(J68=0,"",J68)</f>
        <v>Объём отпущенной потребителям воды, определенный по нормативам потребления коммунальных ресурсов </v>
      </c>
      <c r="N68" s="1356" t="str">
        <f>IF(K68=0,"",K68)</f>
        <v/>
      </c>
      <c r="O68" s="1469"/>
      <c r="P68" s="1469" t="s">
        <v>2309</v>
      </c>
      <c r="Q68" s="1469"/>
      <c r="R68" s="1469"/>
      <c r="S68" s="1469"/>
      <c r="T68" s="1355"/>
      <c r="U68" s="1355" t="s">
        <v>2310</v>
      </c>
      <c r="V68" s="1355"/>
      <c r="W68" s="1355"/>
      <c r="X68" s="1355"/>
      <c r="Y68" s="1512"/>
      <c r="Z68" s="1358"/>
      <c r="AA68" s="1361"/>
      <c r="AB68" s="1358"/>
      <c r="AC68" s="1358"/>
      <c r="AD68" s="1358"/>
    </row>
    <row customHeight="1" ht="9">
      <c r="A69" s="1357"/>
      <c r="B69" s="1411">
        <v>52</v>
      </c>
      <c r="C69" s="1355"/>
      <c r="D69" s="1479" t="s">
        <v>2311</v>
      </c>
      <c r="E69" s="1355"/>
      <c r="F69" s="1355"/>
      <c r="G69" s="1355"/>
      <c r="H69" s="1403"/>
      <c r="I69" s="1517" t="str">
        <f>INDEX(TEMPLATE_NUMBER_POINT_FHD,B69,MATCH(TEMPLATE_SPHERE,TEMPLATE_SPHERE_LIST_FOR_NOTE,0))</f>
        <v>11</v>
      </c>
      <c r="J69" s="1517" t="str">
        <f>INDEX(TEMPLATE_DATA_POINT_FHD,B69,MATCH(TEMPLATE_SPHERE,TEMPLATE_SPHERE_LIST_FOR_NOTE,0))</f>
        <v>Потери воды в сетях</v>
      </c>
      <c r="K69" s="1517">
        <f>INDEX(TEMPLATE_NOTE_POINT_FHD,B69,MATCH(TEMPLATE_SPHERE,TEMPLATE_SPHERE_LIST_FOR_NOTE,0))</f>
        <v>0</v>
      </c>
      <c r="L69" s="1356" t="str">
        <f>IF(I69=0,"",I69)</f>
        <v>11</v>
      </c>
      <c r="M69" s="1356" t="str">
        <f>IF(J69=0,"",J69)</f>
        <v>Потери воды в сетях</v>
      </c>
      <c r="N69" s="1356" t="str">
        <f>IF(K69=0,"",K69)</f>
        <v/>
      </c>
      <c r="O69" s="1469"/>
      <c r="P69" s="1469" t="s">
        <v>151</v>
      </c>
      <c r="Q69" s="1469"/>
      <c r="R69" s="1469"/>
      <c r="S69" s="1469"/>
      <c r="T69" s="1355"/>
      <c r="U69" s="1355" t="s">
        <v>2312</v>
      </c>
      <c r="V69" s="1355"/>
      <c r="W69" s="1355"/>
      <c r="X69" s="1355"/>
      <c r="Y69" s="1512"/>
      <c r="Z69" s="1358"/>
      <c r="AA69" s="1361"/>
      <c r="AB69" s="1358"/>
      <c r="AC69" s="1358"/>
      <c r="AD69" s="1358"/>
    </row>
    <row customHeight="1" ht="27">
      <c r="A70" s="1357"/>
      <c r="B70" s="1411">
        <v>53</v>
      </c>
      <c r="C70" s="1355"/>
      <c r="D70" s="1479"/>
      <c r="E70" s="1355" t="s">
        <v>2296</v>
      </c>
      <c r="F70" s="1355"/>
      <c r="G70" s="1355"/>
      <c r="H70" s="1403"/>
      <c r="I70" s="1517">
        <f>INDEX(TEMPLATE_NUMBER_POINT_FHD,B70,MATCH(TEMPLATE_SPHERE,TEMPLATE_SPHERE_LIST_FOR_NOTE,0))</f>
        <v>0</v>
      </c>
      <c r="J70" s="1517">
        <f>INDEX(TEMPLATE_DATA_POINT_FHD,B70,MATCH(TEMPLATE_SPHERE,TEMPLATE_SPHERE_LIST_FOR_NOTE,0))</f>
        <v>0</v>
      </c>
      <c r="K70" s="1517">
        <f>INDEX(TEMPLATE_NOTE_POINT_FHD,B70,MATCH(TEMPLATE_SPHERE,TEMPLATE_SPHERE_LIST_FOR_NOTE,0))</f>
        <v>0</v>
      </c>
      <c r="L70" s="1356" t="str">
        <f>IF(I70=0,"",I70)</f>
        <v/>
      </c>
      <c r="M70" s="1356" t="str">
        <f>IF(J70=0,"",J70)</f>
        <v/>
      </c>
      <c r="N70" s="1356" t="str">
        <f>IF(K70=0,"",K70)</f>
        <v/>
      </c>
      <c r="O70" s="1469"/>
      <c r="P70" s="1469"/>
      <c r="Q70" s="1469" t="s">
        <v>95</v>
      </c>
      <c r="R70" s="1469"/>
      <c r="S70" s="1469"/>
      <c r="T70" s="1355"/>
      <c r="U70" s="1355"/>
      <c r="V70" s="1355" t="s">
        <v>2313</v>
      </c>
      <c r="W70" s="1355"/>
      <c r="X70" s="1355"/>
      <c r="Y70" s="1512"/>
      <c r="Z70" s="1358"/>
      <c r="AA70" s="1361"/>
      <c r="AB70" s="1358"/>
      <c r="AC70" s="1358"/>
      <c r="AD70" s="1358"/>
    </row>
    <row customHeight="1" ht="36">
      <c r="A71" s="1357"/>
      <c r="B71" s="1411">
        <v>54</v>
      </c>
      <c r="C71" s="1355"/>
      <c r="D71" s="1479"/>
      <c r="E71" s="1355" t="s">
        <v>2298</v>
      </c>
      <c r="F71" s="1355"/>
      <c r="G71" s="1355"/>
      <c r="H71" s="1403"/>
      <c r="I71" s="1517">
        <f>INDEX(TEMPLATE_NUMBER_POINT_FHD,B71,MATCH(TEMPLATE_SPHERE,TEMPLATE_SPHERE_LIST_FOR_NOTE,0))</f>
        <v>0</v>
      </c>
      <c r="J71" s="1517">
        <f>INDEX(TEMPLATE_DATA_POINT_FHD,B71,MATCH(TEMPLATE_SPHERE,TEMPLATE_SPHERE_LIST_FOR_NOTE,0))</f>
        <v>0</v>
      </c>
      <c r="K71" s="1517">
        <f>INDEX(TEMPLATE_NOTE_POINT_FHD,B71,MATCH(TEMPLATE_SPHERE,TEMPLATE_SPHERE_LIST_FOR_NOTE,0))</f>
        <v>0</v>
      </c>
      <c r="L71" s="1356" t="str">
        <f>IF(I71=0,"",I71)</f>
        <v/>
      </c>
      <c r="M71" s="1356" t="str">
        <f>IF(J71=0,"",J71)</f>
        <v/>
      </c>
      <c r="N71" s="1356" t="str">
        <f>IF(K71=0,"",K71)</f>
        <v/>
      </c>
      <c r="O71" s="1469"/>
      <c r="P71" s="1469"/>
      <c r="Q71" s="1469" t="s">
        <v>135</v>
      </c>
      <c r="R71" s="1469"/>
      <c r="S71" s="1469"/>
      <c r="T71" s="1355"/>
      <c r="U71" s="1355"/>
      <c r="V71" s="1355" t="s">
        <v>2314</v>
      </c>
      <c r="W71" s="1355"/>
      <c r="X71" s="1355"/>
      <c r="Y71" s="1512"/>
      <c r="Z71" s="1358"/>
      <c r="AA71" s="1361"/>
      <c r="AB71" s="1358"/>
      <c r="AC71" s="1358"/>
      <c r="AD71" s="1358"/>
    </row>
    <row customHeight="1" ht="27">
      <c r="A72" s="1357"/>
      <c r="B72" s="1411">
        <v>55</v>
      </c>
      <c r="C72" s="1355"/>
      <c r="D72" s="1479"/>
      <c r="E72" s="1355" t="s">
        <v>2300</v>
      </c>
      <c r="F72" s="1355"/>
      <c r="G72" s="1355"/>
      <c r="H72" s="1403"/>
      <c r="I72" s="1517">
        <f>INDEX(TEMPLATE_NUMBER_POINT_FHD,B72,MATCH(TEMPLATE_SPHERE,TEMPLATE_SPHERE_LIST_FOR_NOTE,0))</f>
        <v>0</v>
      </c>
      <c r="J72" s="1517">
        <f>INDEX(TEMPLATE_DATA_POINT_FHD,B72,MATCH(TEMPLATE_SPHERE,TEMPLATE_SPHERE_LIST_FOR_NOTE,0))</f>
        <v>0</v>
      </c>
      <c r="K72" s="1517">
        <f>INDEX(TEMPLATE_NOTE_POINT_FHD,B72,MATCH(TEMPLATE_SPHERE,TEMPLATE_SPHERE_LIST_FOR_NOTE,0))</f>
        <v>0</v>
      </c>
      <c r="L72" s="1356" t="str">
        <f>IF(I72=0,"",I72)</f>
        <v/>
      </c>
      <c r="M72" s="1356" t="str">
        <f>IF(J72=0,"",J72)</f>
        <v/>
      </c>
      <c r="N72" s="1356" t="str">
        <f>IF(K72=0,"",K72)</f>
        <v/>
      </c>
      <c r="O72" s="1469"/>
      <c r="P72" s="1469"/>
      <c r="Q72" s="1469" t="s">
        <v>140</v>
      </c>
      <c r="R72" s="1469"/>
      <c r="S72" s="1469"/>
      <c r="T72" s="1355"/>
      <c r="U72" s="1355"/>
      <c r="V72" s="1355" t="s">
        <v>2315</v>
      </c>
      <c r="W72" s="1355"/>
      <c r="X72" s="1355"/>
      <c r="Y72" s="1512"/>
      <c r="Z72" s="1358"/>
      <c r="AA72" s="1361"/>
      <c r="AB72" s="1358"/>
      <c r="AC72" s="1358"/>
      <c r="AD72" s="1358"/>
    </row>
    <row customHeight="1" ht="36">
      <c r="A73" s="1357"/>
      <c r="B73" s="1411">
        <v>56</v>
      </c>
      <c r="C73" s="1355"/>
      <c r="D73" s="1479"/>
      <c r="E73" s="1355" t="s">
        <v>2302</v>
      </c>
      <c r="F73" s="1355"/>
      <c r="G73" s="1355"/>
      <c r="H73" s="1403"/>
      <c r="I73" s="1517">
        <f>INDEX(TEMPLATE_NUMBER_POINT_FHD,B73,MATCH(TEMPLATE_SPHERE,TEMPLATE_SPHERE_LIST_FOR_NOTE,0))</f>
        <v>0</v>
      </c>
      <c r="J73" s="1517">
        <f>INDEX(TEMPLATE_DATA_POINT_FHD,B73,MATCH(TEMPLATE_SPHERE,TEMPLATE_SPHERE_LIST_FOR_NOTE,0))</f>
        <v>0</v>
      </c>
      <c r="K73" s="1517">
        <f>INDEX(TEMPLATE_NOTE_POINT_FHD,B73,MATCH(TEMPLATE_SPHERE,TEMPLATE_SPHERE_LIST_FOR_NOTE,0))</f>
        <v>0</v>
      </c>
      <c r="L73" s="1356" t="str">
        <f>IF(I73=0,"",I73)</f>
        <v/>
      </c>
      <c r="M73" s="1356" t="str">
        <f>IF(J73=0,"",J73)</f>
        <v/>
      </c>
      <c r="N73" s="1356" t="str">
        <f>IF(K73=0,"",K73)</f>
        <v/>
      </c>
      <c r="O73" s="1469"/>
      <c r="P73" s="1469"/>
      <c r="Q73" s="1469" t="s">
        <v>145</v>
      </c>
      <c r="R73" s="1469"/>
      <c r="S73" s="1469"/>
      <c r="T73" s="1355"/>
      <c r="U73" s="1355"/>
      <c r="V73" s="1355" t="s">
        <v>2316</v>
      </c>
      <c r="W73" s="1355"/>
      <c r="X73" s="1355"/>
      <c r="Y73" s="1512"/>
      <c r="Z73" s="1358"/>
      <c r="AA73" s="1361"/>
      <c r="AB73" s="1358"/>
      <c r="AC73" s="1358"/>
      <c r="AD73" s="1358"/>
    </row>
    <row customHeight="1" ht="18">
      <c r="A74" s="1357"/>
      <c r="B74" s="1411">
        <v>57</v>
      </c>
      <c r="C74" s="1355"/>
      <c r="D74" s="1479"/>
      <c r="E74" s="1355" t="s">
        <v>2311</v>
      </c>
      <c r="F74" s="1355"/>
      <c r="G74" s="1355"/>
      <c r="H74" s="1403"/>
      <c r="I74" s="1517">
        <f>INDEX(TEMPLATE_NUMBER_POINT_FHD,B74,MATCH(TEMPLATE_SPHERE,TEMPLATE_SPHERE_LIST_FOR_NOTE,0))</f>
        <v>0</v>
      </c>
      <c r="J74" s="1517">
        <f>INDEX(TEMPLATE_DATA_POINT_FHD,B74,MATCH(TEMPLATE_SPHERE,TEMPLATE_SPHERE_LIST_FOR_NOTE,0))</f>
        <v>0</v>
      </c>
      <c r="K74" s="1517">
        <f>INDEX(TEMPLATE_NOTE_POINT_FHD,B74,MATCH(TEMPLATE_SPHERE,TEMPLATE_SPHERE_LIST_FOR_NOTE,0))</f>
        <v>0</v>
      </c>
      <c r="L74" s="1356" t="str">
        <f>IF(I74=0,"",I74)</f>
        <v/>
      </c>
      <c r="M74" s="1356" t="str">
        <f>IF(J74=0,"",J74)</f>
        <v/>
      </c>
      <c r="N74" s="1356" t="str">
        <f>IF(K74=0,"",K74)</f>
        <v/>
      </c>
      <c r="O74" s="1469"/>
      <c r="P74" s="1469"/>
      <c r="Q74" s="1469" t="s">
        <v>151</v>
      </c>
      <c r="R74" s="1469"/>
      <c r="S74" s="1469"/>
      <c r="T74" s="1355"/>
      <c r="U74" s="1355"/>
      <c r="V74" s="1355" t="s">
        <v>2317</v>
      </c>
      <c r="W74" s="1355"/>
      <c r="X74" s="1355"/>
      <c r="Y74" s="1512"/>
      <c r="Z74" s="1358"/>
      <c r="AA74" s="1361"/>
      <c r="AB74" s="1358"/>
      <c r="AC74" s="1358"/>
      <c r="AD74" s="1358"/>
    </row>
    <row customHeight="1" ht="18">
      <c r="A75" s="1357"/>
      <c r="B75" s="1411">
        <v>58</v>
      </c>
      <c r="C75" s="1355"/>
      <c r="D75" s="1479"/>
      <c r="E75" s="1355"/>
      <c r="F75" s="1355" t="s">
        <v>2296</v>
      </c>
      <c r="G75" s="1355"/>
      <c r="H75" s="1403"/>
      <c r="I75" s="1517">
        <f>INDEX(TEMPLATE_NUMBER_POINT_FHD,B75,MATCH(TEMPLATE_SPHERE,TEMPLATE_SPHERE_LIST_FOR_NOTE,0))</f>
        <v>0</v>
      </c>
      <c r="J75" s="1517">
        <f>INDEX(TEMPLATE_DATA_POINT_FHD,B75,MATCH(TEMPLATE_SPHERE,TEMPLATE_SPHERE_LIST_FOR_NOTE,0))</f>
        <v>0</v>
      </c>
      <c r="K75" s="1517">
        <f>INDEX(TEMPLATE_NOTE_POINT_FHD,B75,MATCH(TEMPLATE_SPHERE,TEMPLATE_SPHERE_LIST_FOR_NOTE,0))</f>
        <v>0</v>
      </c>
      <c r="L75" s="1356" t="str">
        <f>IF(I75=0,"",I75)</f>
        <v/>
      </c>
      <c r="M75" s="1356" t="str">
        <f>IF(J75=0,"",J75)</f>
        <v/>
      </c>
      <c r="N75" s="1356" t="str">
        <f>IF(K75=0,"",K75)</f>
        <v/>
      </c>
      <c r="O75" s="1469"/>
      <c r="P75" s="1469"/>
      <c r="Q75" s="1469"/>
      <c r="R75" s="1469" t="s">
        <v>95</v>
      </c>
      <c r="S75" s="1469"/>
      <c r="T75" s="1355"/>
      <c r="U75" s="1355"/>
      <c r="V75" s="1355"/>
      <c r="W75" s="1355" t="s">
        <v>2318</v>
      </c>
      <c r="X75" s="1355"/>
      <c r="Y75" s="1512"/>
      <c r="Z75" s="1358"/>
      <c r="AA75" s="1361"/>
      <c r="AB75" s="1358"/>
      <c r="AC75" s="1358"/>
      <c r="AD75" s="1358"/>
    </row>
    <row customHeight="1" ht="36">
      <c r="A76" s="1357"/>
      <c r="B76" s="1411">
        <v>59</v>
      </c>
      <c r="C76" s="1355"/>
      <c r="D76" s="1479"/>
      <c r="E76" s="1355"/>
      <c r="F76" s="1355" t="s">
        <v>2298</v>
      </c>
      <c r="G76" s="1355"/>
      <c r="H76" s="1403"/>
      <c r="I76" s="1517">
        <f>INDEX(TEMPLATE_NUMBER_POINT_FHD,B76,MATCH(TEMPLATE_SPHERE,TEMPLATE_SPHERE_LIST_FOR_NOTE,0))</f>
        <v>0</v>
      </c>
      <c r="J76" s="1517">
        <f>INDEX(TEMPLATE_DATA_POINT_FHD,B76,MATCH(TEMPLATE_SPHERE,TEMPLATE_SPHERE_LIST_FOR_NOTE,0))</f>
        <v>0</v>
      </c>
      <c r="K76" s="1517">
        <f>INDEX(TEMPLATE_NOTE_POINT_FHD,B76,MATCH(TEMPLATE_SPHERE,TEMPLATE_SPHERE_LIST_FOR_NOTE,0))</f>
        <v>0</v>
      </c>
      <c r="L76" s="1356" t="str">
        <f>IF(I76=0,"",I76)</f>
        <v/>
      </c>
      <c r="M76" s="1356" t="str">
        <f>IF(J76=0,"",J76)</f>
        <v/>
      </c>
      <c r="N76" s="1356" t="str">
        <f>IF(K76=0,"",K76)</f>
        <v/>
      </c>
      <c r="O76" s="1469"/>
      <c r="P76" s="1469"/>
      <c r="Q76" s="1469"/>
      <c r="R76" s="1469" t="s">
        <v>135</v>
      </c>
      <c r="S76" s="1469"/>
      <c r="T76" s="1355"/>
      <c r="U76" s="1355"/>
      <c r="V76" s="1355"/>
      <c r="W76" s="1355" t="s">
        <v>2319</v>
      </c>
      <c r="X76" s="1355"/>
      <c r="Y76" s="1512"/>
      <c r="Z76" s="1358"/>
      <c r="AA76" s="1361"/>
      <c r="AB76" s="1358"/>
      <c r="AC76" s="1358"/>
      <c r="AD76" s="1358"/>
    </row>
    <row customHeight="1" ht="18">
      <c r="A77" s="1357"/>
      <c r="B77" s="1411">
        <v>60</v>
      </c>
      <c r="C77" s="1355"/>
      <c r="D77" s="1479"/>
      <c r="E77" s="1355"/>
      <c r="F77" s="1355" t="s">
        <v>2300</v>
      </c>
      <c r="G77" s="1355"/>
      <c r="H77" s="1403"/>
      <c r="I77" s="1517">
        <f>INDEX(TEMPLATE_NUMBER_POINT_FHD,B77,MATCH(TEMPLATE_SPHERE,TEMPLATE_SPHERE_LIST_FOR_NOTE,0))</f>
        <v>0</v>
      </c>
      <c r="J77" s="1517">
        <f>INDEX(TEMPLATE_DATA_POINT_FHD,B77,MATCH(TEMPLATE_SPHERE,TEMPLATE_SPHERE_LIST_FOR_NOTE,0))</f>
        <v>0</v>
      </c>
      <c r="K77" s="1517">
        <f>INDEX(TEMPLATE_NOTE_POINT_FHD,B77,MATCH(TEMPLATE_SPHERE,TEMPLATE_SPHERE_LIST_FOR_NOTE,0))</f>
        <v>0</v>
      </c>
      <c r="L77" s="1356" t="str">
        <f>IF(I77=0,"",I77)</f>
        <v/>
      </c>
      <c r="M77" s="1356" t="str">
        <f>IF(J77=0,"",J77)</f>
        <v/>
      </c>
      <c r="N77" s="1356" t="str">
        <f>IF(K77=0,"",K77)</f>
        <v/>
      </c>
      <c r="O77" s="1469"/>
      <c r="P77" s="1469"/>
      <c r="Q77" s="1469"/>
      <c r="R77" s="1469" t="s">
        <v>140</v>
      </c>
      <c r="S77" s="1469"/>
      <c r="T77" s="1355"/>
      <c r="U77" s="1355"/>
      <c r="V77" s="1355"/>
      <c r="W77" s="1355" t="s">
        <v>2320</v>
      </c>
      <c r="X77" s="1355"/>
      <c r="Y77" s="1512"/>
      <c r="Z77" s="1358"/>
      <c r="AA77" s="1361"/>
      <c r="AB77" s="1358"/>
      <c r="AC77" s="1358"/>
      <c r="AD77" s="1358"/>
    </row>
    <row customHeight="1" ht="72">
      <c r="A78" s="1357"/>
      <c r="B78" s="1411">
        <v>61</v>
      </c>
      <c r="C78" s="1355" t="s">
        <v>2296</v>
      </c>
      <c r="D78" s="1479"/>
      <c r="E78" s="1355"/>
      <c r="F78" s="1355"/>
      <c r="G78" s="1355"/>
      <c r="H78" s="1403"/>
      <c r="I78" s="1517">
        <f>INDEX(TEMPLATE_NUMBER_POINT_FHD,B78,MATCH(TEMPLATE_SPHERE,TEMPLATE_SPHERE_LIST_FOR_NOTE,0))</f>
        <v>0</v>
      </c>
      <c r="J78" s="1517">
        <f>INDEX(TEMPLATE_DATA_POINT_FHD,B78,MATCH(TEMPLATE_SPHERE,TEMPLATE_SPHERE_LIST_FOR_NOTE,0))</f>
        <v>0</v>
      </c>
      <c r="K78" s="1517">
        <f>INDEX(TEMPLATE_NOTE_POINT_FHD,B78,MATCH(TEMPLATE_SPHERE,TEMPLATE_SPHERE_LIST_FOR_NOTE,0))</f>
        <v>0</v>
      </c>
      <c r="L78" s="1356" t="str">
        <f>IF(I78=0,"",I78)</f>
        <v/>
      </c>
      <c r="M78" s="1356" t="str">
        <f>IF(J78=0,"",J78)</f>
        <v/>
      </c>
      <c r="N78" s="1356" t="str">
        <f>IF(K78=0,"",K78)</f>
        <v/>
      </c>
      <c r="O78" s="1469" t="s">
        <v>95</v>
      </c>
      <c r="P78" s="1469"/>
      <c r="Q78" s="1469"/>
      <c r="R78" s="1469"/>
      <c r="S78" s="1469"/>
      <c r="T78" s="1355" t="s">
        <v>772</v>
      </c>
      <c r="U78" s="1355"/>
      <c r="V78" s="1355"/>
      <c r="W78" s="1355"/>
      <c r="X78" s="1355"/>
      <c r="Y78" s="1512"/>
      <c r="Z78" s="1358" t="s">
        <v>2321</v>
      </c>
      <c r="AA78" s="1361"/>
      <c r="AB78" s="1358"/>
      <c r="AC78" s="1358"/>
      <c r="AD78" s="1358"/>
    </row>
    <row customHeight="1" ht="36">
      <c r="A79" s="1357"/>
      <c r="B79" s="1411">
        <v>62</v>
      </c>
      <c r="C79" s="1355" t="s">
        <v>2298</v>
      </c>
      <c r="D79" s="1479"/>
      <c r="E79" s="1355"/>
      <c r="F79" s="1355"/>
      <c r="G79" s="1355"/>
      <c r="H79" s="1403"/>
      <c r="I79" s="1517">
        <f>INDEX(TEMPLATE_NUMBER_POINT_FHD,B79,MATCH(TEMPLATE_SPHERE,TEMPLATE_SPHERE_LIST_FOR_NOTE,0))</f>
        <v>0</v>
      </c>
      <c r="J79" s="1517">
        <f>INDEX(TEMPLATE_DATA_POINT_FHD,B79,MATCH(TEMPLATE_SPHERE,TEMPLATE_SPHERE_LIST_FOR_NOTE,0))</f>
        <v>0</v>
      </c>
      <c r="K79" s="1517">
        <f>INDEX(TEMPLATE_NOTE_POINT_FHD,B79,MATCH(TEMPLATE_SPHERE,TEMPLATE_SPHERE_LIST_FOR_NOTE,0))</f>
        <v>0</v>
      </c>
      <c r="L79" s="1356" t="str">
        <f>IF(I79=0,"",I79)</f>
        <v/>
      </c>
      <c r="M79" s="1356" t="str">
        <f>IF(J79=0,"",J79)</f>
        <v/>
      </c>
      <c r="N79" s="1356" t="str">
        <f>IF(K79=0,"",K79)</f>
        <v/>
      </c>
      <c r="O79" s="1469" t="s">
        <v>135</v>
      </c>
      <c r="P79" s="1469"/>
      <c r="Q79" s="1469"/>
      <c r="R79" s="1469"/>
      <c r="S79" s="1469"/>
      <c r="T79" s="1355" t="s">
        <v>2322</v>
      </c>
      <c r="U79" s="1355"/>
      <c r="V79" s="1355"/>
      <c r="W79" s="1355"/>
      <c r="X79" s="1355"/>
      <c r="Y79" s="1512"/>
      <c r="Z79" s="1358" t="s">
        <v>2323</v>
      </c>
      <c r="AA79" s="1361"/>
      <c r="AB79" s="1358"/>
      <c r="AC79" s="1358"/>
      <c r="AD79" s="1358"/>
    </row>
    <row customHeight="1" ht="45">
      <c r="A80" s="1357"/>
      <c r="B80" s="1411">
        <v>63</v>
      </c>
      <c r="C80" s="1355" t="s">
        <v>2300</v>
      </c>
      <c r="D80" s="1479"/>
      <c r="E80" s="1355"/>
      <c r="F80" s="1355"/>
      <c r="G80" s="1355"/>
      <c r="H80" s="1403"/>
      <c r="I80" s="1517">
        <f>INDEX(TEMPLATE_NUMBER_POINT_FHD,B80,MATCH(TEMPLATE_SPHERE,TEMPLATE_SPHERE_LIST_FOR_NOTE,0))</f>
        <v>0</v>
      </c>
      <c r="J80" s="1517">
        <f>INDEX(TEMPLATE_DATA_POINT_FHD,B80,MATCH(TEMPLATE_SPHERE,TEMPLATE_SPHERE_LIST_FOR_NOTE,0))</f>
        <v>0</v>
      </c>
      <c r="K80" s="1517">
        <f>INDEX(TEMPLATE_NOTE_POINT_FHD,B80,MATCH(TEMPLATE_SPHERE,TEMPLATE_SPHERE_LIST_FOR_NOTE,0))</f>
        <v>0</v>
      </c>
      <c r="L80" s="1356" t="str">
        <f>IF(I80=0,"",I80)</f>
        <v/>
      </c>
      <c r="M80" s="1356" t="str">
        <f>IF(J80=0,"",J80)</f>
        <v/>
      </c>
      <c r="N80" s="1356" t="str">
        <f>IF(K80=0,"",K80)</f>
        <v/>
      </c>
      <c r="O80" s="1469" t="s">
        <v>140</v>
      </c>
      <c r="P80" s="1469"/>
      <c r="Q80" s="1469"/>
      <c r="R80" s="1469"/>
      <c r="S80" s="1469"/>
      <c r="T80" s="1355" t="s">
        <v>2324</v>
      </c>
      <c r="U80" s="1355"/>
      <c r="V80" s="1355"/>
      <c r="W80" s="1355"/>
      <c r="X80" s="1355"/>
      <c r="Y80" s="1512"/>
      <c r="Z80" s="1358" t="s">
        <v>2325</v>
      </c>
      <c r="AA80" s="1361"/>
      <c r="AB80" s="1358"/>
      <c r="AC80" s="1358"/>
      <c r="AD80" s="1358"/>
    </row>
    <row customHeight="1" ht="36">
      <c r="A81" s="1357"/>
      <c r="B81" s="1411">
        <v>64</v>
      </c>
      <c r="C81" s="1355" t="s">
        <v>2302</v>
      </c>
      <c r="D81" s="1479"/>
      <c r="E81" s="1355"/>
      <c r="F81" s="1355"/>
      <c r="G81" s="1355"/>
      <c r="H81" s="1403"/>
      <c r="I81" s="1517">
        <f>INDEX(TEMPLATE_NUMBER_POINT_FHD,B81,MATCH(TEMPLATE_SPHERE,TEMPLATE_SPHERE_LIST_FOR_NOTE,0))</f>
        <v>0</v>
      </c>
      <c r="J81" s="1517">
        <f>INDEX(TEMPLATE_DATA_POINT_FHD,B81,MATCH(TEMPLATE_SPHERE,TEMPLATE_SPHERE_LIST_FOR_NOTE,0))</f>
        <v>0</v>
      </c>
      <c r="K81" s="1517">
        <f>INDEX(TEMPLATE_NOTE_POINT_FHD,B81,MATCH(TEMPLATE_SPHERE,TEMPLATE_SPHERE_LIST_FOR_NOTE,0))</f>
        <v>0</v>
      </c>
      <c r="L81" s="1356" t="str">
        <f>IF(I81=0,"",I81)</f>
        <v/>
      </c>
      <c r="M81" s="1356" t="str">
        <f>IF(J81=0,"",J81)</f>
        <v/>
      </c>
      <c r="N81" s="1356" t="str">
        <f>IF(K81=0,"",K81)</f>
        <v/>
      </c>
      <c r="O81" s="1469" t="s">
        <v>2208</v>
      </c>
      <c r="P81" s="1469"/>
      <c r="Q81" s="1469"/>
      <c r="R81" s="1469"/>
      <c r="S81" s="1469"/>
      <c r="T81" s="1355" t="s">
        <v>2326</v>
      </c>
      <c r="U81" s="1355"/>
      <c r="V81" s="1355"/>
      <c r="W81" s="1355"/>
      <c r="X81" s="1355"/>
      <c r="Y81" s="1512"/>
      <c r="Z81" s="1358" t="s">
        <v>2327</v>
      </c>
      <c r="AA81" s="1361"/>
      <c r="AB81" s="1358"/>
      <c r="AC81" s="1358"/>
      <c r="AD81" s="1358"/>
    </row>
    <row customHeight="1" ht="90">
      <c r="A82" s="1357"/>
      <c r="B82" s="1411">
        <v>65</v>
      </c>
      <c r="C82" s="1355" t="s">
        <v>2311</v>
      </c>
      <c r="D82" s="1479"/>
      <c r="E82" s="1355"/>
      <c r="F82" s="1355"/>
      <c r="G82" s="1355"/>
      <c r="H82" s="1403"/>
      <c r="I82" s="1517">
        <f>INDEX(TEMPLATE_NUMBER_POINT_FHD,B82,MATCH(TEMPLATE_SPHERE,TEMPLATE_SPHERE_LIST_FOR_NOTE,0))</f>
        <v>0</v>
      </c>
      <c r="J82" s="1517">
        <f>INDEX(TEMPLATE_DATA_POINT_FHD,B82,MATCH(TEMPLATE_SPHERE,TEMPLATE_SPHERE_LIST_FOR_NOTE,0))</f>
        <v>0</v>
      </c>
      <c r="K82" s="1517">
        <f>INDEX(TEMPLATE_NOTE_POINT_FHD,B82,MATCH(TEMPLATE_SPHERE,TEMPLATE_SPHERE_LIST_FOR_NOTE,0))</f>
        <v>0</v>
      </c>
      <c r="L82" s="1356" t="str">
        <f>IF(I82=0,"",I82)</f>
        <v/>
      </c>
      <c r="M82" s="1356" t="str">
        <f>IF(J82=0,"",J82)</f>
        <v/>
      </c>
      <c r="N82" s="1356" t="str">
        <f>IF(K82=0,"",K82)</f>
        <v/>
      </c>
      <c r="O82" s="1469" t="s">
        <v>145</v>
      </c>
      <c r="P82" s="1469"/>
      <c r="Q82" s="1469"/>
      <c r="R82" s="1469"/>
      <c r="S82" s="1469"/>
      <c r="T82" s="1355" t="s">
        <v>2328</v>
      </c>
      <c r="U82" s="1355"/>
      <c r="V82" s="1355"/>
      <c r="W82" s="1355"/>
      <c r="X82" s="1355"/>
      <c r="Y82" s="1512"/>
      <c r="Z82" s="1358" t="s">
        <v>2329</v>
      </c>
      <c r="AA82" s="1361"/>
      <c r="AB82" s="1358"/>
      <c r="AC82" s="1358"/>
      <c r="AD82" s="1358"/>
    </row>
    <row customHeight="1" ht="9">
      <c r="A83" s="1357"/>
      <c r="B83" s="1411">
        <v>66</v>
      </c>
      <c r="C83" s="1355"/>
      <c r="D83" s="1479"/>
      <c r="E83" s="1355"/>
      <c r="F83" s="1355"/>
      <c r="G83" s="1355"/>
      <c r="H83" s="1403"/>
      <c r="I83" s="1517">
        <f>INDEX(TEMPLATE_NUMBER_POINT_FHD,B83,MATCH(TEMPLATE_SPHERE,TEMPLATE_SPHERE_LIST_FOR_NOTE,0))</f>
        <v>0</v>
      </c>
      <c r="J83" s="1517">
        <f>INDEX(TEMPLATE_DATA_POINT_FHD,B83,MATCH(TEMPLATE_SPHERE,TEMPLATE_SPHERE_LIST_FOR_NOTE,0))</f>
        <v>0</v>
      </c>
      <c r="K83" s="1517">
        <f>INDEX(TEMPLATE_NOTE_POINT_FHD,B83,MATCH(TEMPLATE_SPHERE,TEMPLATE_SPHERE_LIST_FOR_NOTE,0))</f>
        <v>0</v>
      </c>
      <c r="L83" s="1356" t="str">
        <f>IF(I83=0,"",I83)</f>
        <v/>
      </c>
      <c r="M83" s="1356" t="str">
        <f>IF(J83=0,"",J83)</f>
        <v/>
      </c>
      <c r="N83" s="1356" t="str">
        <f>IF(K83=0,"",K83)</f>
        <v/>
      </c>
      <c r="O83" s="1469" t="s">
        <v>2217</v>
      </c>
      <c r="P83" s="1469"/>
      <c r="Q83" s="1469"/>
      <c r="R83" s="1469"/>
      <c r="S83" s="1469"/>
      <c r="T83" s="1355" t="s">
        <v>2330</v>
      </c>
      <c r="U83" s="1355"/>
      <c r="V83" s="1355"/>
      <c r="W83" s="1355"/>
      <c r="X83" s="1355"/>
      <c r="Y83" s="1512"/>
      <c r="Z83" s="1358"/>
      <c r="AA83" s="1361"/>
      <c r="AB83" s="1358"/>
      <c r="AC83" s="1358"/>
      <c r="AD83" s="1358"/>
    </row>
    <row customHeight="1" ht="54">
      <c r="A84" s="1357"/>
      <c r="B84" s="1411">
        <v>67</v>
      </c>
      <c r="C84" s="1355"/>
      <c r="D84" s="1479"/>
      <c r="E84" s="1355"/>
      <c r="F84" s="1355"/>
      <c r="G84" s="1355"/>
      <c r="H84" s="1403"/>
      <c r="I84" s="1517">
        <f>INDEX(TEMPLATE_NUMBER_POINT_FHD,B84,MATCH(TEMPLATE_SPHERE,TEMPLATE_SPHERE_LIST_FOR_NOTE,0))</f>
        <v>0</v>
      </c>
      <c r="J84" s="1517">
        <f>INDEX(TEMPLATE_DATA_POINT_FHD,B84,MATCH(TEMPLATE_SPHERE,TEMPLATE_SPHERE_LIST_FOR_NOTE,0))</f>
        <v>0</v>
      </c>
      <c r="K84" s="1517">
        <f>INDEX(TEMPLATE_NOTE_POINT_FHD,B84,MATCH(TEMPLATE_SPHERE,TEMPLATE_SPHERE_LIST_FOR_NOTE,0))</f>
        <v>0</v>
      </c>
      <c r="L84" s="1356" t="str">
        <f>IF(I84=0,"",I84)</f>
        <v/>
      </c>
      <c r="M84" s="1356" t="str">
        <f>IF(J84=0,"",J84)</f>
        <v/>
      </c>
      <c r="N84" s="1356" t="str">
        <f>IF(K84=0,"",K84)</f>
        <v/>
      </c>
      <c r="O84" s="1469" t="s">
        <v>2331</v>
      </c>
      <c r="P84" s="1469"/>
      <c r="Q84" s="1469"/>
      <c r="R84" s="1469"/>
      <c r="S84" s="1469"/>
      <c r="T84" s="1355" t="s">
        <v>2332</v>
      </c>
      <c r="U84" s="1355"/>
      <c r="V84" s="1355"/>
      <c r="W84" s="1355"/>
      <c r="X84" s="1355"/>
      <c r="Y84" s="1512"/>
      <c r="Z84" s="1358"/>
      <c r="AA84" s="1361"/>
      <c r="AB84" s="1358"/>
      <c r="AC84" s="1358"/>
      <c r="AD84" s="1358"/>
    </row>
    <row customHeight="1" ht="9">
      <c r="A85" s="1357"/>
      <c r="B85" s="1411">
        <v>68</v>
      </c>
      <c r="C85" s="1355"/>
      <c r="D85" s="1479"/>
      <c r="E85" s="1355"/>
      <c r="F85" s="1355"/>
      <c r="G85" s="1355"/>
      <c r="H85" s="1403"/>
      <c r="I85" s="1517">
        <f>INDEX(TEMPLATE_NUMBER_POINT_FHD,B85,MATCH(TEMPLATE_SPHERE,TEMPLATE_SPHERE_LIST_FOR_NOTE,0))</f>
        <v>0</v>
      </c>
      <c r="J85" s="1517">
        <f>INDEX(TEMPLATE_DATA_POINT_FHD,B85,MATCH(TEMPLATE_SPHERE,TEMPLATE_SPHERE_LIST_FOR_NOTE,0))</f>
        <v>0</v>
      </c>
      <c r="K85" s="1517">
        <f>INDEX(TEMPLATE_NOTE_POINT_FHD,B85,MATCH(TEMPLATE_SPHERE,TEMPLATE_SPHERE_LIST_FOR_NOTE,0))</f>
        <v>0</v>
      </c>
      <c r="L85" s="1356" t="str">
        <f>IF(I85=0,"",I85)</f>
        <v/>
      </c>
      <c r="M85" s="1356" t="str">
        <f>IF(J85=0,"",J85)</f>
        <v/>
      </c>
      <c r="N85" s="1356" t="str">
        <f>IF(K85=0,"",K85)</f>
        <v/>
      </c>
      <c r="O85" s="1469" t="s">
        <v>2221</v>
      </c>
      <c r="P85" s="1469"/>
      <c r="Q85" s="1469"/>
      <c r="R85" s="1469"/>
      <c r="S85" s="1469"/>
      <c r="T85" s="1355" t="s">
        <v>2333</v>
      </c>
      <c r="U85" s="1355"/>
      <c r="V85" s="1355"/>
      <c r="W85" s="1355"/>
      <c r="X85" s="1355"/>
      <c r="Y85" s="1512"/>
      <c r="Z85" s="1358"/>
      <c r="AA85" s="1361"/>
      <c r="AB85" s="1358"/>
      <c r="AC85" s="1358"/>
      <c r="AD85" s="1358"/>
    </row>
    <row customHeight="1" ht="27">
      <c r="A86" s="1357"/>
      <c r="B86" s="1411">
        <v>69</v>
      </c>
      <c r="C86" s="1355"/>
      <c r="D86" s="1479"/>
      <c r="E86" s="1355"/>
      <c r="F86" s="1355"/>
      <c r="G86" s="1355"/>
      <c r="H86" s="1403"/>
      <c r="I86" s="1517">
        <f>INDEX(TEMPLATE_NUMBER_POINT_FHD,B86,MATCH(TEMPLATE_SPHERE,TEMPLATE_SPHERE_LIST_FOR_NOTE,0))</f>
        <v>0</v>
      </c>
      <c r="J86" s="1517">
        <f>INDEX(TEMPLATE_DATA_POINT_FHD,B86,MATCH(TEMPLATE_SPHERE,TEMPLATE_SPHERE_LIST_FOR_NOTE,0))</f>
        <v>0</v>
      </c>
      <c r="K86" s="1517">
        <f>INDEX(TEMPLATE_NOTE_POINT_FHD,B86,MATCH(TEMPLATE_SPHERE,TEMPLATE_SPHERE_LIST_FOR_NOTE,0))</f>
        <v>0</v>
      </c>
      <c r="L86" s="1356" t="str">
        <f>IF(I86=0,"",I86)</f>
        <v/>
      </c>
      <c r="M86" s="1356" t="str">
        <f>IF(J86=0,"",J86)</f>
        <v/>
      </c>
      <c r="N86" s="1356" t="str">
        <f>IF(K86=0,"",K86)</f>
        <v/>
      </c>
      <c r="O86" s="1469" t="s">
        <v>2334</v>
      </c>
      <c r="P86" s="1469"/>
      <c r="Q86" s="1469"/>
      <c r="R86" s="1469"/>
      <c r="S86" s="1469"/>
      <c r="T86" s="1355" t="s">
        <v>2335</v>
      </c>
      <c r="U86" s="1355"/>
      <c r="V86" s="1355"/>
      <c r="W86" s="1355"/>
      <c r="X86" s="1355"/>
      <c r="Y86" s="1512"/>
      <c r="Z86" s="1358"/>
      <c r="AA86" s="1361"/>
      <c r="AB86" s="1358"/>
      <c r="AC86" s="1358"/>
      <c r="AD86" s="1358"/>
    </row>
    <row customHeight="1" ht="36">
      <c r="A87" s="1357"/>
      <c r="B87" s="1411">
        <v>70</v>
      </c>
      <c r="C87" s="1355" t="s">
        <v>2336</v>
      </c>
      <c r="D87" s="1479"/>
      <c r="E87" s="1355"/>
      <c r="F87" s="1355"/>
      <c r="G87" s="1355"/>
      <c r="H87" s="1403"/>
      <c r="I87" s="1517">
        <f>INDEX(TEMPLATE_NUMBER_POINT_FHD,B87,MATCH(TEMPLATE_SPHERE,TEMPLATE_SPHERE_LIST_FOR_NOTE,0))</f>
        <v>0</v>
      </c>
      <c r="J87" s="1517">
        <f>INDEX(TEMPLATE_DATA_POINT_FHD,B87,MATCH(TEMPLATE_SPHERE,TEMPLATE_SPHERE_LIST_FOR_NOTE,0))</f>
        <v>0</v>
      </c>
      <c r="K87" s="1517">
        <f>INDEX(TEMPLATE_NOTE_POINT_FHD,B87,MATCH(TEMPLATE_SPHERE,TEMPLATE_SPHERE_LIST_FOR_NOTE,0))</f>
        <v>0</v>
      </c>
      <c r="L87" s="1356" t="str">
        <f>IF(I87=0,"",I87)</f>
        <v/>
      </c>
      <c r="M87" s="1356" t="str">
        <f>IF(J87=0,"",J87)</f>
        <v/>
      </c>
      <c r="N87" s="1356" t="str">
        <f>IF(K87=0,"",K87)</f>
        <v/>
      </c>
      <c r="O87" s="1469" t="s">
        <v>151</v>
      </c>
      <c r="P87" s="1469"/>
      <c r="Q87" s="1469"/>
      <c r="R87" s="1469"/>
      <c r="S87" s="1469"/>
      <c r="T87" s="1355" t="s">
        <v>2337</v>
      </c>
      <c r="U87" s="1355"/>
      <c r="V87" s="1355"/>
      <c r="W87" s="1355"/>
      <c r="X87" s="1355"/>
      <c r="Y87" s="1512"/>
      <c r="Z87" s="1358"/>
      <c r="AA87" s="1361"/>
      <c r="AB87" s="1358"/>
      <c r="AC87" s="1358"/>
      <c r="AD87" s="1358"/>
    </row>
    <row customHeight="1" ht="18">
      <c r="A88" s="1357"/>
      <c r="B88" s="1411">
        <v>71</v>
      </c>
      <c r="C88" s="1355" t="s">
        <v>2338</v>
      </c>
      <c r="D88" s="1479"/>
      <c r="E88" s="1355"/>
      <c r="F88" s="1355"/>
      <c r="G88" s="1355"/>
      <c r="H88" s="1403"/>
      <c r="I88" s="1517">
        <f>INDEX(TEMPLATE_NUMBER_POINT_FHD,B88,MATCH(TEMPLATE_SPHERE,TEMPLATE_SPHERE_LIST_FOR_NOTE,0))</f>
        <v>0</v>
      </c>
      <c r="J88" s="1517">
        <f>INDEX(TEMPLATE_DATA_POINT_FHD,B88,MATCH(TEMPLATE_SPHERE,TEMPLATE_SPHERE_LIST_FOR_NOTE,0))</f>
        <v>0</v>
      </c>
      <c r="K88" s="1517">
        <f>INDEX(TEMPLATE_NOTE_POINT_FHD,B88,MATCH(TEMPLATE_SPHERE,TEMPLATE_SPHERE_LIST_FOR_NOTE,0))</f>
        <v>0</v>
      </c>
      <c r="L88" s="1356" t="str">
        <f>IF(I88=0,"",I88)</f>
        <v/>
      </c>
      <c r="M88" s="1356" t="str">
        <f>IF(J88=0,"",J88)</f>
        <v/>
      </c>
      <c r="N88" s="1356" t="str">
        <f>IF(K88=0,"",K88)</f>
        <v/>
      </c>
      <c r="O88" s="1469" t="s">
        <v>156</v>
      </c>
      <c r="P88" s="1469"/>
      <c r="Q88" s="1469"/>
      <c r="R88" s="1469"/>
      <c r="S88" s="1469"/>
      <c r="T88" s="1355" t="s">
        <v>804</v>
      </c>
      <c r="U88" s="1355"/>
      <c r="V88" s="1355"/>
      <c r="W88" s="1355"/>
      <c r="X88" s="1355"/>
      <c r="Y88" s="1512"/>
      <c r="Z88" s="1358"/>
      <c r="AA88" s="1361"/>
      <c r="AB88" s="1358"/>
      <c r="AC88" s="1358"/>
      <c r="AD88" s="1358"/>
    </row>
    <row customHeight="1" ht="18">
      <c r="A89" s="1357"/>
      <c r="B89" s="1411">
        <v>72</v>
      </c>
      <c r="C89" s="1355" t="s">
        <v>2339</v>
      </c>
      <c r="D89" s="1479" t="s">
        <v>2336</v>
      </c>
      <c r="E89" s="1355" t="s">
        <v>2336</v>
      </c>
      <c r="F89" s="1355" t="s">
        <v>2302</v>
      </c>
      <c r="G89" s="1355"/>
      <c r="H89" s="1403"/>
      <c r="I89" s="1517" t="str">
        <f>INDEX(TEMPLATE_NUMBER_POINT_FHD,B89,MATCH(TEMPLATE_SPHERE,TEMPLATE_SPHERE_LIST_FOR_NOTE,0))</f>
        <v>12</v>
      </c>
      <c r="J89" s="1517" t="str">
        <f>INDEX(TEMPLATE_DATA_POINT_FHD,B89,MATCH(TEMPLATE_SPHERE,TEMPLATE_SPHERE_LIST_FOR_NOTE,0))</f>
        <v>Среднесписочная численность основного производственного персонала</v>
      </c>
      <c r="K89" s="1517">
        <f>INDEX(TEMPLATE_NOTE_POINT_FHD,B89,MATCH(TEMPLATE_SPHERE,TEMPLATE_SPHERE_LIST_FOR_NOTE,0))</f>
        <v>0</v>
      </c>
      <c r="L89" s="1356" t="str">
        <f>IF(I89=0,"",I89)</f>
        <v>12</v>
      </c>
      <c r="M89" s="1356" t="str">
        <f>IF(J89=0,"",J89)</f>
        <v>Среднесписочная численность основного производственного персонала</v>
      </c>
      <c r="N89" s="1356" t="str">
        <f>IF(K89=0,"",K89)</f>
        <v/>
      </c>
      <c r="O89" s="1469" t="s">
        <v>160</v>
      </c>
      <c r="P89" s="1469" t="s">
        <v>156</v>
      </c>
      <c r="Q89" s="1469" t="s">
        <v>156</v>
      </c>
      <c r="R89" s="1469" t="s">
        <v>145</v>
      </c>
      <c r="S89" s="1469"/>
      <c r="T89" s="1355" t="s">
        <v>812</v>
      </c>
      <c r="U89" s="1355" t="s">
        <v>812</v>
      </c>
      <c r="V89" s="1355" t="s">
        <v>812</v>
      </c>
      <c r="W89" s="1355" t="s">
        <v>812</v>
      </c>
      <c r="X89" s="1355"/>
      <c r="Y89" s="1512"/>
      <c r="Z89" s="1358"/>
      <c r="AA89" s="1361"/>
      <c r="AB89" s="1358"/>
      <c r="AC89" s="1358"/>
      <c r="AD89" s="1358"/>
    </row>
    <row customHeight="1" ht="27">
      <c r="A90" s="1357"/>
      <c r="B90" s="1411">
        <v>73</v>
      </c>
      <c r="C90" s="1355" t="s">
        <v>2340</v>
      </c>
      <c r="D90" s="1479"/>
      <c r="E90" s="1355"/>
      <c r="F90" s="1355"/>
      <c r="G90" s="1355"/>
      <c r="H90" s="1403"/>
      <c r="I90" s="1517">
        <f>INDEX(TEMPLATE_NUMBER_POINT_FHD,B90,MATCH(TEMPLATE_SPHERE,TEMPLATE_SPHERE_LIST_FOR_NOTE,0))</f>
        <v>0</v>
      </c>
      <c r="J90" s="1517">
        <f>INDEX(TEMPLATE_DATA_POINT_FHD,B90,MATCH(TEMPLATE_SPHERE,TEMPLATE_SPHERE_LIST_FOR_NOTE,0))</f>
        <v>0</v>
      </c>
      <c r="K90" s="1517">
        <f>INDEX(TEMPLATE_NOTE_POINT_FHD,B90,MATCH(TEMPLATE_SPHERE,TEMPLATE_SPHERE_LIST_FOR_NOTE,0))</f>
        <v>0</v>
      </c>
      <c r="L90" s="1356" t="str">
        <f>IF(I90=0,"",I90)</f>
        <v/>
      </c>
      <c r="M90" s="1356" t="str">
        <f>IF(J90=0,"",J90)</f>
        <v/>
      </c>
      <c r="N90" s="1356" t="str">
        <f>IF(K90=0,"",K90)</f>
        <v/>
      </c>
      <c r="O90" s="1469" t="s">
        <v>164</v>
      </c>
      <c r="P90" s="1469"/>
      <c r="Q90" s="1469"/>
      <c r="R90" s="1469"/>
      <c r="S90" s="1469"/>
      <c r="T90" s="1355" t="s">
        <v>814</v>
      </c>
      <c r="U90" s="1355"/>
      <c r="V90" s="1355"/>
      <c r="W90" s="1355"/>
      <c r="X90" s="1355"/>
      <c r="Y90" s="1512"/>
      <c r="Z90" s="1358"/>
      <c r="AA90" s="1361"/>
      <c r="AB90" s="1358"/>
      <c r="AC90" s="1358"/>
      <c r="AD90" s="1358"/>
    </row>
    <row customHeight="1" ht="18">
      <c r="A91" s="1357"/>
      <c r="B91" s="1411">
        <v>74</v>
      </c>
      <c r="C91" s="1355"/>
      <c r="D91" s="1479" t="s">
        <v>2338</v>
      </c>
      <c r="E91" s="1355" t="s">
        <v>2338</v>
      </c>
      <c r="F91" s="1355"/>
      <c r="G91" s="1355"/>
      <c r="H91" s="1403"/>
      <c r="I91" s="1517" t="str">
        <f>INDEX(TEMPLATE_NUMBER_POINT_FHD,B91,MATCH(TEMPLATE_SPHERE,TEMPLATE_SPHERE_LIST_FOR_NOTE,0))</f>
        <v>13</v>
      </c>
      <c r="J91" s="1517" t="str">
        <f>INDEX(TEMPLATE_DATA_POINT_FHD,B91,MATCH(TEMPLATE_SPHERE,TEMPLATE_SPHERE_LIST_FOR_NOTE,0))</f>
        <v>Удельный расход электрической энергии на подачу воды в сеть</v>
      </c>
      <c r="K91" s="1517">
        <f>INDEX(TEMPLATE_NOTE_POINT_FHD,B91,MATCH(TEMPLATE_SPHERE,TEMPLATE_SPHERE_LIST_FOR_NOTE,0))</f>
        <v>0</v>
      </c>
      <c r="L91" s="1356" t="str">
        <f>IF(I91=0,"",I91)</f>
        <v>13</v>
      </c>
      <c r="M91" s="1356" t="str">
        <f>IF(J91=0,"",J91)</f>
        <v>Удельный расход электрической энергии на подачу воды в сеть</v>
      </c>
      <c r="N91" s="1356" t="str">
        <f>IF(K91=0,"",K91)</f>
        <v/>
      </c>
      <c r="O91" s="1469"/>
      <c r="P91" s="1469" t="s">
        <v>160</v>
      </c>
      <c r="Q91" s="1469" t="s">
        <v>160</v>
      </c>
      <c r="R91" s="1469"/>
      <c r="S91" s="1469"/>
      <c r="T91" s="1355"/>
      <c r="U91" s="1355" t="s">
        <v>2341</v>
      </c>
      <c r="V91" s="1355" t="s">
        <v>2341</v>
      </c>
      <c r="W91" s="1355"/>
      <c r="X91" s="1355"/>
      <c r="Y91" s="1512"/>
      <c r="Z91" s="1358"/>
      <c r="AA91" s="1361"/>
      <c r="AB91" s="1358"/>
      <c r="AC91" s="1358"/>
      <c r="AD91" s="1358"/>
    </row>
    <row customHeight="1" ht="27">
      <c r="A92" s="1357"/>
      <c r="B92" s="1411">
        <v>75</v>
      </c>
      <c r="C92" s="1355"/>
      <c r="D92" s="1479" t="s">
        <v>2339</v>
      </c>
      <c r="E92" s="1355"/>
      <c r="F92" s="1355"/>
      <c r="G92" s="1355"/>
      <c r="H92" s="1403"/>
      <c r="I92" s="1517" t="str">
        <f>INDEX(TEMPLATE_NUMBER_POINT_FHD,B92,MATCH(TEMPLATE_SPHERE,TEMPLATE_SPHERE_LIST_FOR_NOTE,0))</f>
        <v>14</v>
      </c>
      <c r="J92" s="1517" t="str">
        <f>INDEX(TEMPLATE_DATA_POINT_FHD,B92,MATCH(TEMPLATE_SPHERE,TEMPLATE_SPHERE_LIST_FOR_NOTE,0))</f>
        <v>Расход воды на собственные нужды, в том числе:</v>
      </c>
      <c r="K92" s="1517" t="str">
        <f>INDEX(TEMPLATE_NOTE_POINT_FHD,B92,MATCH(TEMPLATE_SPHERE,TEMPLATE_SPHERE_LIST_FOR_NOTE,0))</f>
        <v>Указывается доля общего расхода воды на собственные нужны от объема отпуска воды потребителям.</v>
      </c>
      <c r="L92" s="1356" t="str">
        <f>IF(I92=0,"",I92)</f>
        <v>14</v>
      </c>
      <c r="M92" s="1356" t="str">
        <f>IF(J92=0,"",J92)</f>
        <v>Расход воды на собственные нужды, в том числе:</v>
      </c>
      <c r="N92" s="1356" t="str">
        <f>IF(K92=0,"",K92)</f>
        <v>Указывается доля общего расхода воды на собственные нужны от объема отпуска воды потребителям.</v>
      </c>
      <c r="O92" s="1469"/>
      <c r="P92" s="1469" t="s">
        <v>164</v>
      </c>
      <c r="Q92" s="1469"/>
      <c r="R92" s="1469"/>
      <c r="S92" s="1469"/>
      <c r="T92" s="1355"/>
      <c r="U92" s="1355" t="s">
        <v>2342</v>
      </c>
      <c r="V92" s="1355"/>
      <c r="W92" s="1355"/>
      <c r="X92" s="1355"/>
      <c r="Y92" s="1512"/>
      <c r="Z92" s="1358"/>
      <c r="AA92" s="1361" t="s">
        <v>2343</v>
      </c>
      <c r="AB92" s="1358"/>
      <c r="AC92" s="1358"/>
      <c r="AD92" s="1358"/>
    </row>
    <row customHeight="1" ht="27">
      <c r="A93" s="1357"/>
      <c r="B93" s="1411">
        <v>76</v>
      </c>
      <c r="C93" s="1355"/>
      <c r="D93" s="1479"/>
      <c r="E93" s="1355"/>
      <c r="F93" s="1355"/>
      <c r="G93" s="1355"/>
      <c r="H93" s="1403"/>
      <c r="I93" s="1517" t="str">
        <f>INDEX(TEMPLATE_NUMBER_POINT_FHD,B93,MATCH(TEMPLATE_SPHERE,TEMPLATE_SPHERE_LIST_FOR_NOTE,0))</f>
        <v>14.1</v>
      </c>
      <c r="J93" s="1517" t="str">
        <f>INDEX(TEMPLATE_DATA_POINT_FHD,B93,MATCH(TEMPLATE_SPHERE,TEMPLATE_SPHERE_LIST_FOR_NOTE,0))</f>
        <v>Расход воды на хозяйственно-бытовые нужды</v>
      </c>
      <c r="K93" s="1517"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356" t="str">
        <f>IF(I93=0,"",I93)</f>
        <v>14.1</v>
      </c>
      <c r="M93" s="1356" t="str">
        <f>IF(J93=0,"",J93)</f>
        <v>Расход воды на хозяйственно-бытовые нужды</v>
      </c>
      <c r="N93" s="1356" t="str">
        <f>IF(K93=0,"",K93)</f>
        <v>Указывается доля расхода воды на хозяйственно-бытовые нужны от объема отпуска воды потребителям.</v>
      </c>
      <c r="O93" s="1469"/>
      <c r="P93" s="1469" t="s">
        <v>2249</v>
      </c>
      <c r="Q93" s="1469"/>
      <c r="R93" s="1469"/>
      <c r="S93" s="1469"/>
      <c r="T93" s="1355"/>
      <c r="U93" s="1355" t="s">
        <v>2344</v>
      </c>
      <c r="V93" s="1355"/>
      <c r="W93" s="1355"/>
      <c r="X93" s="1355"/>
      <c r="Y93" s="1512"/>
      <c r="Z93" s="1358"/>
      <c r="AA93" s="1361" t="s">
        <v>2345</v>
      </c>
      <c r="AB93" s="1358"/>
      <c r="AC93" s="1358"/>
      <c r="AD93" s="1358"/>
    </row>
    <row customHeight="1" ht="45">
      <c r="A94" s="1357"/>
      <c r="B94" s="1411">
        <v>77</v>
      </c>
      <c r="C94" s="1355"/>
      <c r="D94" s="1479" t="s">
        <v>2340</v>
      </c>
      <c r="E94" s="1355"/>
      <c r="F94" s="1355"/>
      <c r="G94" s="1355"/>
      <c r="H94" s="1403"/>
      <c r="I94" s="1517" t="str">
        <f>INDEX(TEMPLATE_NUMBER_POINT_FHD,B94,MATCH(TEMPLATE_SPHERE,TEMPLATE_SPHERE_LIST_FOR_NOTE,0))</f>
        <v>15</v>
      </c>
      <c r="J94" s="1517" t="str">
        <f>INDEX(TEMPLATE_DATA_POINT_FHD,B94,MATCH(TEMPLATE_SPHERE,TEMPLATE_SPHERE_LIST_FOR_NOTE,0))</f>
        <v>Показатель использования производственных объектов (по объему перекачки), в том числе:</v>
      </c>
      <c r="K94" s="1517"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356" t="str">
        <f>IF(I94=0,"",I94)</f>
        <v>15</v>
      </c>
      <c r="M94" s="1356" t="str">
        <f>IF(J94=0,"",J94)</f>
        <v>Показатель использования производственных объектов (по объему перекачки), в том числе:</v>
      </c>
      <c r="N94" s="1356"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469"/>
      <c r="P94" s="1469" t="s">
        <v>168</v>
      </c>
      <c r="Q94" s="1469"/>
      <c r="R94" s="1469"/>
      <c r="S94" s="1469"/>
      <c r="T94" s="1355"/>
      <c r="U94" s="1355" t="s">
        <v>2346</v>
      </c>
      <c r="V94" s="1355"/>
      <c r="W94" s="1355"/>
      <c r="X94" s="1355"/>
      <c r="Y94" s="1512"/>
      <c r="Z94" s="1358"/>
      <c r="AA94" s="1361" t="s">
        <v>2347</v>
      </c>
      <c r="AB94" s="1358"/>
      <c r="AC94" s="1358"/>
      <c r="AD94" s="1358"/>
    </row>
    <row customHeight="1" ht="99">
      <c r="A95" s="1357"/>
      <c r="B95" s="1411">
        <v>78</v>
      </c>
      <c r="C95" s="1355" t="s">
        <v>2348</v>
      </c>
      <c r="D95" s="1479"/>
      <c r="E95" s="1355"/>
      <c r="F95" s="1355"/>
      <c r="G95" s="1355"/>
      <c r="H95" s="1403"/>
      <c r="I95" s="1517">
        <f>INDEX(TEMPLATE_NUMBER_POINT_FHD,B95,MATCH(TEMPLATE_SPHERE,TEMPLATE_SPHERE_LIST_FOR_NOTE,0))</f>
        <v>0</v>
      </c>
      <c r="J95" s="1517">
        <f>INDEX(TEMPLATE_DATA_POINT_FHD,B95,MATCH(TEMPLATE_SPHERE,TEMPLATE_SPHERE_LIST_FOR_NOTE,0))</f>
        <v>0</v>
      </c>
      <c r="K95" s="1517">
        <f>INDEX(TEMPLATE_NOTE_POINT_FHD,B95,MATCH(TEMPLATE_SPHERE,TEMPLATE_SPHERE_LIST_FOR_NOTE,0))</f>
        <v>0</v>
      </c>
      <c r="L95" s="1356" t="str">
        <f>IF(I95=0,"",I95)</f>
        <v/>
      </c>
      <c r="M95" s="1356" t="str">
        <f>IF(J95=0,"",J95)</f>
        <v/>
      </c>
      <c r="N95" s="1356" t="str">
        <f>IF(K95=0,"",K95)</f>
        <v/>
      </c>
      <c r="O95" s="1469" t="s">
        <v>168</v>
      </c>
      <c r="P95" s="1469"/>
      <c r="Q95" s="1469"/>
      <c r="R95" s="1469"/>
      <c r="S95" s="1469"/>
      <c r="T95" s="1355" t="s">
        <v>2349</v>
      </c>
      <c r="U95" s="1355"/>
      <c r="V95" s="1355"/>
      <c r="W95" s="1355"/>
      <c r="X95" s="1355"/>
      <c r="Y95" s="1512"/>
      <c r="Z95" s="1358"/>
      <c r="AA95" s="1361"/>
      <c r="AB95" s="1358"/>
      <c r="AC95" s="1358"/>
      <c r="AD95" s="1358"/>
    </row>
    <row customHeight="1" ht="99">
      <c r="A96" s="1357"/>
      <c r="B96" s="1411">
        <v>79</v>
      </c>
      <c r="C96" s="1355" t="s">
        <v>1292</v>
      </c>
      <c r="D96" s="1479"/>
      <c r="E96" s="1355"/>
      <c r="F96" s="1355"/>
      <c r="G96" s="1355"/>
      <c r="H96" s="1403"/>
      <c r="I96" s="1517">
        <f>INDEX(TEMPLATE_NUMBER_POINT_FHD,B96,MATCH(TEMPLATE_SPHERE,TEMPLATE_SPHERE_LIST_FOR_NOTE,0))</f>
        <v>0</v>
      </c>
      <c r="J96" s="1517">
        <f>INDEX(TEMPLATE_DATA_POINT_FHD,B96,MATCH(TEMPLATE_SPHERE,TEMPLATE_SPHERE_LIST_FOR_NOTE,0))</f>
        <v>0</v>
      </c>
      <c r="K96" s="1517">
        <f>INDEX(TEMPLATE_NOTE_POINT_FHD,B96,MATCH(TEMPLATE_SPHERE,TEMPLATE_SPHERE_LIST_FOR_NOTE,0))</f>
        <v>0</v>
      </c>
      <c r="L96" s="1356" t="str">
        <f>IF(I96=0,"",I96)</f>
        <v/>
      </c>
      <c r="M96" s="1356" t="str">
        <f>IF(J96=0,"",J96)</f>
        <v/>
      </c>
      <c r="N96" s="1356" t="str">
        <f>IF(K96=0,"",K96)</f>
        <v/>
      </c>
      <c r="O96" s="1469" t="s">
        <v>118</v>
      </c>
      <c r="P96" s="1469"/>
      <c r="Q96" s="1469"/>
      <c r="R96" s="1469"/>
      <c r="S96" s="1469"/>
      <c r="T96" s="1355" t="s">
        <v>2350</v>
      </c>
      <c r="U96" s="1355"/>
      <c r="V96" s="1355"/>
      <c r="W96" s="1355"/>
      <c r="X96" s="1355"/>
      <c r="Y96" s="1512"/>
      <c r="Z96" s="1358" t="s">
        <v>2351</v>
      </c>
      <c r="AA96" s="1361"/>
      <c r="AB96" s="1358"/>
      <c r="AC96" s="1358"/>
      <c r="AD96" s="1358"/>
    </row>
    <row customHeight="1" ht="63">
      <c r="A97" s="1357"/>
      <c r="B97" s="1411">
        <v>80</v>
      </c>
      <c r="C97" s="1355" t="s">
        <v>2352</v>
      </c>
      <c r="D97" s="1479"/>
      <c r="E97" s="1355"/>
      <c r="F97" s="1355"/>
      <c r="G97" s="1355"/>
      <c r="H97" s="1403"/>
      <c r="I97" s="1517">
        <f>INDEX(TEMPLATE_NUMBER_POINT_FHD,B97,MATCH(TEMPLATE_SPHERE,TEMPLATE_SPHERE_LIST_FOR_NOTE,0))</f>
        <v>0</v>
      </c>
      <c r="J97" s="1517">
        <f>INDEX(TEMPLATE_DATA_POINT_FHD,B97,MATCH(TEMPLATE_SPHERE,TEMPLATE_SPHERE_LIST_FOR_NOTE,0))</f>
        <v>0</v>
      </c>
      <c r="K97" s="1517">
        <f>INDEX(TEMPLATE_NOTE_POINT_FHD,B97,MATCH(TEMPLATE_SPHERE,TEMPLATE_SPHERE_LIST_FOR_NOTE,0))</f>
        <v>0</v>
      </c>
      <c r="L97" s="1356" t="str">
        <f>IF(I97=0,"",I97)</f>
        <v/>
      </c>
      <c r="M97" s="1356" t="str">
        <f>IF(J97=0,"",J97)</f>
        <v/>
      </c>
      <c r="N97" s="1356" t="str">
        <f>IF(K97=0,"",K97)</f>
        <v/>
      </c>
      <c r="O97" s="1469" t="s">
        <v>1622</v>
      </c>
      <c r="P97" s="1469"/>
      <c r="Q97" s="1469"/>
      <c r="R97" s="1469"/>
      <c r="S97" s="1469"/>
      <c r="T97" s="1355" t="s">
        <v>2353</v>
      </c>
      <c r="U97" s="1355"/>
      <c r="V97" s="1355"/>
      <c r="W97" s="1355"/>
      <c r="X97" s="1355"/>
      <c r="Y97" s="1512"/>
      <c r="Z97" s="1358" t="s">
        <v>2354</v>
      </c>
      <c r="AA97" s="1361"/>
      <c r="AB97" s="1358"/>
      <c r="AC97" s="1358"/>
      <c r="AD97" s="1358"/>
    </row>
    <row customHeight="1" ht="63">
      <c r="A98" s="1357"/>
      <c r="B98" s="1411">
        <v>81</v>
      </c>
      <c r="C98" s="1355" t="s">
        <v>2355</v>
      </c>
      <c r="D98" s="1479"/>
      <c r="E98" s="1355"/>
      <c r="F98" s="1355"/>
      <c r="G98" s="1355"/>
      <c r="H98" s="1403"/>
      <c r="I98" s="1517">
        <f>INDEX(TEMPLATE_NUMBER_POINT_FHD,B98,MATCH(TEMPLATE_SPHERE,TEMPLATE_SPHERE_LIST_FOR_NOTE,0))</f>
        <v>0</v>
      </c>
      <c r="J98" s="1517">
        <f>INDEX(TEMPLATE_DATA_POINT_FHD,B98,MATCH(TEMPLATE_SPHERE,TEMPLATE_SPHERE_LIST_FOR_NOTE,0))</f>
        <v>0</v>
      </c>
      <c r="K98" s="1517">
        <f>INDEX(TEMPLATE_NOTE_POINT_FHD,B98,MATCH(TEMPLATE_SPHERE,TEMPLATE_SPHERE_LIST_FOR_NOTE,0))</f>
        <v>0</v>
      </c>
      <c r="L98" s="1356" t="str">
        <f>IF(I98=0,"",I98)</f>
        <v/>
      </c>
      <c r="M98" s="1356" t="str">
        <f>IF(J98=0,"",J98)</f>
        <v/>
      </c>
      <c r="N98" s="1356" t="str">
        <f>IF(K98=0,"",K98)</f>
        <v/>
      </c>
      <c r="O98" s="1469" t="s">
        <v>1636</v>
      </c>
      <c r="P98" s="1469"/>
      <c r="Q98" s="1469"/>
      <c r="R98" s="1469"/>
      <c r="S98" s="1469"/>
      <c r="T98" s="1355" t="s">
        <v>2356</v>
      </c>
      <c r="U98" s="1355"/>
      <c r="V98" s="1355"/>
      <c r="W98" s="1355"/>
      <c r="X98" s="1355"/>
      <c r="Y98" s="1512"/>
      <c r="Z98" s="1358" t="s">
        <v>2354</v>
      </c>
      <c r="AA98" s="1361"/>
      <c r="AB98" s="1358"/>
      <c r="AC98" s="1358"/>
      <c r="AD98" s="1358"/>
    </row>
    <row customHeight="1" ht="90">
      <c r="A99" s="1357"/>
      <c r="B99" s="1411">
        <v>82</v>
      </c>
      <c r="C99" s="1355" t="s">
        <v>2357</v>
      </c>
      <c r="D99" s="1479"/>
      <c r="E99" s="1355"/>
      <c r="F99" s="1355"/>
      <c r="G99" s="1355"/>
      <c r="H99" s="1403"/>
      <c r="I99" s="1517">
        <f>INDEX(TEMPLATE_NUMBER_POINT_FHD,B99,MATCH(TEMPLATE_SPHERE,TEMPLATE_SPHERE_LIST_FOR_NOTE,0))</f>
        <v>0</v>
      </c>
      <c r="J99" s="1517">
        <f>INDEX(TEMPLATE_DATA_POINT_FHD,B99,MATCH(TEMPLATE_SPHERE,TEMPLATE_SPHERE_LIST_FOR_NOTE,0))</f>
        <v>0</v>
      </c>
      <c r="K99" s="1517">
        <f>INDEX(TEMPLATE_NOTE_POINT_FHD,B99,MATCH(TEMPLATE_SPHERE,TEMPLATE_SPHERE_LIST_FOR_NOTE,0))</f>
        <v>0</v>
      </c>
      <c r="L99" s="1356" t="str">
        <f>IF(I99=0,"",I99)</f>
        <v/>
      </c>
      <c r="M99" s="1356" t="str">
        <f>IF(J99=0,"",J99)</f>
        <v/>
      </c>
      <c r="N99" s="1356" t="str">
        <f>IF(K99=0,"",K99)</f>
        <v/>
      </c>
      <c r="O99" s="1469" t="s">
        <v>1648</v>
      </c>
      <c r="P99" s="1469"/>
      <c r="Q99" s="1469"/>
      <c r="R99" s="1469"/>
      <c r="S99" s="1469"/>
      <c r="T99" s="1355" t="s">
        <v>2358</v>
      </c>
      <c r="U99" s="1355"/>
      <c r="V99" s="1355"/>
      <c r="W99" s="1355"/>
      <c r="X99" s="1355"/>
      <c r="Y99" s="1512"/>
      <c r="Z99" s="1358" t="s">
        <v>769</v>
      </c>
      <c r="AA99" s="1361"/>
      <c r="AB99" s="1358"/>
      <c r="AC99" s="1358"/>
      <c r="AD99" s="1358"/>
    </row>
    <row customHeight="1" ht="27">
      <c r="A100" s="1357"/>
      <c r="B100" s="1411">
        <v>83</v>
      </c>
      <c r="C100" s="1355"/>
      <c r="D100" s="1479"/>
      <c r="E100" s="1355"/>
      <c r="F100" s="1355"/>
      <c r="G100" s="1355"/>
      <c r="H100" s="1403"/>
      <c r="I100" s="1517">
        <f>INDEX(TEMPLATE_NUMBER_POINT_FHD,B100,MATCH(TEMPLATE_SPHERE,TEMPLATE_SPHERE_LIST_FOR_NOTE,0))</f>
        <v>0</v>
      </c>
      <c r="J100" s="1517">
        <f>INDEX(TEMPLATE_DATA_POINT_FHD,B100,MATCH(TEMPLATE_SPHERE,TEMPLATE_SPHERE_LIST_FOR_NOTE,0))</f>
        <v>0</v>
      </c>
      <c r="K100" s="1517">
        <f>INDEX(TEMPLATE_NOTE_POINT_FHD,B100,MATCH(TEMPLATE_SPHERE,TEMPLATE_SPHERE_LIST_FOR_NOTE,0))</f>
        <v>0</v>
      </c>
      <c r="L100" s="1356" t="str">
        <f>IF(I100=0,"",I100)</f>
        <v/>
      </c>
      <c r="M100" s="1356" t="str">
        <f>IF(J100=0,"",J100)</f>
        <v/>
      </c>
      <c r="N100" s="1356" t="str">
        <f>IF(K100=0,"",K100)</f>
        <v/>
      </c>
      <c r="O100" s="1469" t="s">
        <v>2359</v>
      </c>
      <c r="P100" s="1469"/>
      <c r="Q100" s="1469"/>
      <c r="R100" s="1469"/>
      <c r="S100" s="1469"/>
      <c r="T100" s="1355" t="s">
        <v>2360</v>
      </c>
      <c r="U100" s="1355"/>
      <c r="V100" s="1355"/>
      <c r="W100" s="1355"/>
      <c r="X100" s="1355"/>
      <c r="Y100" s="1512"/>
      <c r="Z100" s="1358" t="s">
        <v>769</v>
      </c>
      <c r="AA100" s="1361"/>
      <c r="AB100" s="1358"/>
      <c r="AC100" s="1358"/>
      <c r="AD100" s="1358"/>
    </row>
    <row customHeight="1" ht="27">
      <c r="A101" s="1357"/>
      <c r="B101" s="1411">
        <v>84</v>
      </c>
      <c r="C101" s="1355"/>
      <c r="D101" s="1479"/>
      <c r="E101" s="1355"/>
      <c r="F101" s="1355"/>
      <c r="G101" s="1355"/>
      <c r="H101" s="1403"/>
      <c r="I101" s="1517">
        <f>INDEX(TEMPLATE_NUMBER_POINT_FHD,B101,MATCH(TEMPLATE_SPHERE,TEMPLATE_SPHERE_LIST_FOR_NOTE,0))</f>
        <v>0</v>
      </c>
      <c r="J101" s="1517">
        <f>INDEX(TEMPLATE_DATA_POINT_FHD,B101,MATCH(TEMPLATE_SPHERE,TEMPLATE_SPHERE_LIST_FOR_NOTE,0))</f>
        <v>0</v>
      </c>
      <c r="K101" s="1517">
        <f>INDEX(TEMPLATE_NOTE_POINT_FHD,B101,MATCH(TEMPLATE_SPHERE,TEMPLATE_SPHERE_LIST_FOR_NOTE,0))</f>
        <v>0</v>
      </c>
      <c r="L101" s="1356" t="str">
        <f>IF(I101=0,"",I101)</f>
        <v/>
      </c>
      <c r="M101" s="1356" t="str">
        <f>IF(J101=0,"",J101)</f>
        <v/>
      </c>
      <c r="N101" s="1356" t="str">
        <f>IF(K101=0,"",K101)</f>
        <v/>
      </c>
      <c r="O101" s="1469" t="s">
        <v>2361</v>
      </c>
      <c r="P101" s="1469"/>
      <c r="Q101" s="1469"/>
      <c r="R101" s="1469"/>
      <c r="S101" s="1469"/>
      <c r="T101" s="1355" t="s">
        <v>2362</v>
      </c>
      <c r="U101" s="1355"/>
      <c r="V101" s="1355"/>
      <c r="W101" s="1355"/>
      <c r="X101" s="1355"/>
      <c r="Y101" s="1512"/>
      <c r="Z101" s="1358" t="s">
        <v>769</v>
      </c>
      <c r="AA101" s="1361"/>
      <c r="AB101" s="1358"/>
      <c r="AC101" s="1358"/>
      <c r="AD101" s="1358"/>
    </row>
    <row customHeight="1" ht="9">
      <c r="A102" s="1357"/>
      <c r="B102" s="1357"/>
      <c r="C102" s="1355"/>
      <c r="D102" s="1355"/>
      <c r="E102" s="1355"/>
      <c r="F102" s="1355"/>
      <c r="G102" s="1355"/>
      <c r="H102" s="1403"/>
      <c r="I102" s="1403"/>
      <c r="J102" s="1403"/>
      <c r="K102" s="1403"/>
      <c r="L102" s="1403"/>
      <c r="M102" s="1355"/>
      <c r="N102" s="1402"/>
      <c r="O102" s="1469"/>
      <c r="P102" s="1469"/>
      <c r="Q102" s="1469"/>
      <c r="R102" s="1469"/>
      <c r="S102" s="1355"/>
      <c r="T102" s="1355"/>
      <c r="U102" s="1355"/>
      <c r="V102" s="1355"/>
      <c r="W102" s="1355"/>
      <c r="X102" s="1355"/>
      <c r="Y102" s="1512"/>
      <c r="Z102" s="1358"/>
      <c r="AA102" s="1361"/>
      <c r="AB102" s="1358"/>
      <c r="AC102" s="1358"/>
      <c r="AD102" s="1358"/>
    </row>
    <row customHeight="1" ht="9">
      <c r="A103" s="1357"/>
      <c r="B103" s="1357"/>
      <c r="C103" s="1355"/>
      <c r="D103" s="1355"/>
      <c r="E103" s="1355"/>
      <c r="F103" s="1355"/>
      <c r="G103" s="1355"/>
      <c r="H103" s="1403"/>
      <c r="I103" s="1403"/>
      <c r="J103" s="1403"/>
      <c r="K103" s="1403"/>
      <c r="L103" s="1403"/>
      <c r="M103" s="1355"/>
      <c r="N103" s="1402"/>
      <c r="O103" s="1469"/>
      <c r="P103" s="1469"/>
      <c r="Q103" s="1469"/>
      <c r="R103" s="1469"/>
      <c r="S103" s="1355"/>
      <c r="T103" s="1355"/>
      <c r="U103" s="1355"/>
      <c r="V103" s="1355"/>
      <c r="W103" s="1355"/>
      <c r="X103" s="1355"/>
      <c r="Y103" s="1512"/>
      <c r="Z103" s="1358"/>
      <c r="AA103" s="1361"/>
      <c r="AB103" s="1358"/>
      <c r="AC103" s="1358"/>
      <c r="AD103" s="1358"/>
    </row>
    <row customHeight="1" ht="9">
      <c r="A104" s="1357"/>
      <c r="B104" s="1357"/>
      <c r="C104" s="1355"/>
      <c r="D104" s="1355"/>
      <c r="E104" s="1355"/>
      <c r="F104" s="1355"/>
      <c r="G104" s="1355"/>
      <c r="H104" s="1403"/>
      <c r="I104" s="1403"/>
      <c r="J104" s="1403"/>
      <c r="K104" s="1403"/>
      <c r="L104" s="1403"/>
      <c r="M104" s="1355"/>
      <c r="N104" s="1402"/>
      <c r="O104" s="1469"/>
      <c r="P104" s="1469"/>
      <c r="Q104" s="1469"/>
      <c r="R104" s="1469"/>
      <c r="S104" s="1355"/>
      <c r="T104" s="1355"/>
      <c r="U104" s="1355"/>
      <c r="V104" s="1355"/>
      <c r="W104" s="1355"/>
      <c r="X104" s="1355"/>
      <c r="Y104" s="1512"/>
      <c r="Z104" s="1358"/>
      <c r="AA104" s="1361"/>
      <c r="AB104" s="1358"/>
      <c r="AC104" s="1358"/>
      <c r="AD104" s="1358"/>
    </row>
    <row customHeight="1" ht="9">
      <c r="A105" s="1357"/>
      <c r="B105" s="1357"/>
      <c r="C105" s="1355"/>
      <c r="D105" s="1355"/>
      <c r="E105" s="1355"/>
      <c r="F105" s="1355"/>
      <c r="G105" s="1355"/>
      <c r="H105" s="1403"/>
      <c r="I105" s="1403"/>
      <c r="J105" s="1403"/>
      <c r="K105" s="1403"/>
      <c r="L105" s="1403"/>
      <c r="M105" s="1355"/>
      <c r="N105" s="1402"/>
      <c r="O105" s="1469"/>
      <c r="P105" s="1469"/>
      <c r="Q105" s="1469"/>
      <c r="R105" s="1469"/>
      <c r="S105" s="1355"/>
      <c r="T105" s="1355"/>
      <c r="U105" s="1355"/>
      <c r="V105" s="1355"/>
      <c r="W105" s="1355"/>
      <c r="X105" s="1355"/>
      <c r="Y105" s="1512"/>
      <c r="Z105" s="1358"/>
      <c r="AA105" s="1361"/>
      <c r="AB105" s="1358"/>
      <c r="AC105" s="1358"/>
      <c r="AD105" s="1358"/>
    </row>
    <row customHeight="1" ht="9">
      <c r="A106" s="1357"/>
      <c r="B106" s="1357"/>
      <c r="C106" s="1355"/>
      <c r="D106" s="1355"/>
      <c r="E106" s="1355"/>
      <c r="F106" s="1355"/>
      <c r="G106" s="1355"/>
      <c r="H106" s="1403"/>
      <c r="I106" s="1403"/>
      <c r="J106" s="1403"/>
      <c r="K106" s="1403"/>
      <c r="L106" s="1403"/>
      <c r="M106" s="1355"/>
      <c r="N106" s="1402"/>
      <c r="O106" s="1469"/>
      <c r="P106" s="1469"/>
      <c r="Q106" s="1469"/>
      <c r="R106" s="1469"/>
      <c r="S106" s="1355"/>
      <c r="T106" s="1355"/>
      <c r="U106" s="1355"/>
      <c r="V106" s="1355"/>
      <c r="W106" s="1355"/>
      <c r="X106" s="1355"/>
      <c r="Y106" s="1512"/>
      <c r="Z106" s="1358"/>
      <c r="AA106" s="1361"/>
      <c r="AB106" s="1358"/>
      <c r="AC106" s="1358"/>
      <c r="AD106" s="1358"/>
    </row>
    <row customHeight="1" ht="9">
      <c r="A107" s="1357"/>
      <c r="B107" s="1357"/>
      <c r="C107" s="1355"/>
      <c r="D107" s="1355"/>
      <c r="E107" s="1355"/>
      <c r="F107" s="1355"/>
      <c r="G107" s="1355"/>
      <c r="H107" s="1403"/>
      <c r="I107" s="1403"/>
      <c r="J107" s="1403"/>
      <c r="K107" s="1403"/>
      <c r="L107" s="1403"/>
      <c r="M107" s="1355"/>
      <c r="N107" s="1402"/>
      <c r="O107" s="1469"/>
      <c r="P107" s="1469"/>
      <c r="Q107" s="1469"/>
      <c r="R107" s="1469"/>
      <c r="S107" s="1355"/>
      <c r="T107" s="1355"/>
      <c r="U107" s="1355"/>
      <c r="V107" s="1355"/>
      <c r="W107" s="1355"/>
      <c r="X107" s="1355"/>
      <c r="Y107" s="1512"/>
      <c r="Z107" s="1358"/>
      <c r="AA107" s="1361"/>
      <c r="AB107" s="1358"/>
      <c r="AC107" s="1358"/>
      <c r="AD107" s="1358"/>
    </row>
    <row customHeight="1" ht="9">
      <c r="A108" s="1357"/>
      <c r="B108" s="1357"/>
      <c r="C108" s="1355"/>
      <c r="D108" s="1355"/>
      <c r="E108" s="1355"/>
      <c r="F108" s="1355"/>
      <c r="G108" s="1355"/>
      <c r="H108" s="1403"/>
      <c r="I108" s="1403"/>
      <c r="J108" s="1403"/>
      <c r="K108" s="1403"/>
      <c r="L108" s="1403"/>
      <c r="M108" s="1355"/>
      <c r="N108" s="1402"/>
      <c r="O108" s="1469"/>
      <c r="P108" s="1469"/>
      <c r="Q108" s="1469"/>
      <c r="R108" s="1469"/>
      <c r="S108" s="1355"/>
      <c r="T108" s="1355"/>
      <c r="U108" s="1355"/>
      <c r="V108" s="1355"/>
      <c r="W108" s="1355"/>
      <c r="X108" s="1355"/>
      <c r="Y108" s="1512"/>
      <c r="Z108" s="1358"/>
      <c r="AA108" s="1361"/>
      <c r="AB108" s="1358"/>
      <c r="AC108" s="1358"/>
      <c r="AD108" s="1358"/>
    </row>
    <row customHeight="1" ht="9">
      <c r="A109" s="1357"/>
      <c r="B109" s="1357"/>
      <c r="C109" s="1355"/>
      <c r="D109" s="1355"/>
      <c r="E109" s="1355"/>
      <c r="F109" s="1355"/>
      <c r="G109" s="1355"/>
      <c r="H109" s="1403"/>
      <c r="I109" s="1403"/>
      <c r="J109" s="1403"/>
      <c r="K109" s="1403"/>
      <c r="L109" s="1403"/>
      <c r="M109" s="1355"/>
      <c r="N109" s="1402"/>
      <c r="O109" s="1469"/>
      <c r="P109" s="1469"/>
      <c r="Q109" s="1469"/>
      <c r="R109" s="1469"/>
      <c r="S109" s="1355"/>
      <c r="T109" s="1355"/>
      <c r="U109" s="1355"/>
      <c r="V109" s="1355"/>
      <c r="W109" s="1355"/>
      <c r="X109" s="1355"/>
      <c r="Y109" s="1512"/>
      <c r="Z109" s="1358"/>
      <c r="AA109" s="1361"/>
      <c r="AB109" s="1358"/>
      <c r="AC109" s="1358"/>
      <c r="AD109" s="1358"/>
    </row>
    <row customHeight="1" ht="9">
      <c r="A110" s="1357"/>
      <c r="B110" s="1357"/>
      <c r="C110" s="1355"/>
      <c r="D110" s="1355"/>
      <c r="E110" s="1355"/>
      <c r="F110" s="1355"/>
      <c r="G110" s="1355"/>
      <c r="H110" s="1403"/>
      <c r="I110" s="1403"/>
      <c r="J110" s="1403"/>
      <c r="K110" s="1403"/>
      <c r="L110" s="1403"/>
      <c r="M110" s="1355"/>
      <c r="N110" s="1402"/>
      <c r="O110" s="1469"/>
      <c r="P110" s="1469"/>
      <c r="Q110" s="1469"/>
      <c r="R110" s="1469"/>
      <c r="S110" s="1355"/>
      <c r="T110" s="1355"/>
      <c r="U110" s="1355"/>
      <c r="V110" s="1355"/>
      <c r="W110" s="1355"/>
      <c r="X110" s="1355"/>
      <c r="Y110" s="1512"/>
      <c r="Z110" s="1358"/>
      <c r="AA110" s="1361"/>
      <c r="AB110" s="1358"/>
      <c r="AC110" s="1358"/>
      <c r="AD110" s="1358"/>
    </row>
    <row customHeight="1" ht="9">
      <c r="A111" s="1357"/>
      <c r="B111" s="1357"/>
      <c r="C111" s="1355"/>
      <c r="D111" s="1355"/>
      <c r="E111" s="1355"/>
      <c r="F111" s="1355"/>
      <c r="G111" s="1355"/>
      <c r="H111" s="1403"/>
      <c r="I111" s="1403"/>
      <c r="J111" s="1403"/>
      <c r="K111" s="1403"/>
      <c r="L111" s="1403"/>
      <c r="M111" s="1355"/>
      <c r="N111" s="1402"/>
      <c r="O111" s="1469"/>
      <c r="P111" s="1469"/>
      <c r="Q111" s="1469"/>
      <c r="R111" s="1469"/>
      <c r="S111" s="1355"/>
      <c r="T111" s="1355"/>
      <c r="U111" s="1355"/>
      <c r="V111" s="1355"/>
      <c r="W111" s="1355"/>
      <c r="X111" s="1355"/>
      <c r="Y111" s="1512"/>
      <c r="Z111" s="1358"/>
      <c r="AA111" s="1361"/>
      <c r="AB111" s="1358"/>
      <c r="AC111" s="1358"/>
      <c r="AD111" s="1358"/>
    </row>
    <row customHeight="1" ht="9">
      <c r="A112" s="1357"/>
      <c r="B112" s="1357"/>
      <c r="C112" s="1355"/>
      <c r="D112" s="1355"/>
      <c r="E112" s="1355"/>
      <c r="F112" s="1355"/>
      <c r="G112" s="1355"/>
      <c r="H112" s="1403"/>
      <c r="I112" s="1403"/>
      <c r="J112" s="1403"/>
      <c r="K112" s="1403"/>
      <c r="L112" s="1403"/>
      <c r="M112" s="1355"/>
      <c r="N112" s="1402"/>
      <c r="O112" s="1469"/>
      <c r="P112" s="1469"/>
      <c r="Q112" s="1469"/>
      <c r="R112" s="1469"/>
      <c r="S112" s="1355"/>
      <c r="T112" s="1355"/>
      <c r="U112" s="1355"/>
      <c r="V112" s="1355"/>
      <c r="W112" s="1355"/>
      <c r="X112" s="1355"/>
      <c r="Y112" s="1512"/>
      <c r="Z112" s="1358"/>
      <c r="AA112" s="1361"/>
      <c r="AB112" s="1358"/>
      <c r="AC112" s="1358"/>
      <c r="AD112" s="1358"/>
    </row>
    <row customHeight="1" ht="9">
      <c r="A113" s="1357"/>
      <c r="B113" s="1357"/>
      <c r="C113" s="1355"/>
      <c r="D113" s="1355"/>
      <c r="E113" s="1355"/>
      <c r="F113" s="1355"/>
      <c r="G113" s="1355"/>
      <c r="H113" s="1403"/>
      <c r="I113" s="1403"/>
      <c r="J113" s="1403"/>
      <c r="K113" s="1403"/>
      <c r="L113" s="1403"/>
      <c r="M113" s="1355"/>
      <c r="N113" s="1402"/>
      <c r="O113" s="1469"/>
      <c r="P113" s="1469"/>
      <c r="Q113" s="1469"/>
      <c r="R113" s="1469"/>
      <c r="S113" s="1355"/>
      <c r="T113" s="1355"/>
      <c r="U113" s="1355"/>
      <c r="V113" s="1355"/>
      <c r="W113" s="1355"/>
      <c r="X113" s="1355"/>
      <c r="Y113" s="1512"/>
      <c r="Z113" s="1358"/>
      <c r="AA113" s="1361"/>
      <c r="AB113" s="1358"/>
      <c r="AC113" s="1358"/>
      <c r="AD113" s="1358"/>
    </row>
    <row customHeight="1" ht="9">
      <c r="A114" s="1357"/>
      <c r="B114" s="1357"/>
      <c r="C114" s="1355"/>
      <c r="D114" s="1355"/>
      <c r="E114" s="1355"/>
      <c r="F114" s="1355"/>
      <c r="G114" s="1355"/>
      <c r="H114" s="1403"/>
      <c r="I114" s="1403"/>
      <c r="J114" s="1403"/>
      <c r="K114" s="1403"/>
      <c r="L114" s="1403"/>
      <c r="M114" s="1355"/>
      <c r="N114" s="1402"/>
      <c r="O114" s="1469"/>
      <c r="P114" s="1469"/>
      <c r="Q114" s="1469"/>
      <c r="R114" s="1469"/>
      <c r="S114" s="1355"/>
      <c r="T114" s="1355"/>
      <c r="U114" s="1355"/>
      <c r="V114" s="1355"/>
      <c r="W114" s="1355"/>
      <c r="X114" s="1355"/>
      <c r="Y114" s="1512"/>
      <c r="Z114" s="1358"/>
      <c r="AA114" s="1361"/>
      <c r="AB114" s="1358"/>
      <c r="AC114" s="1358"/>
      <c r="AD114" s="1358"/>
    </row>
    <row customHeight="1" ht="9">
      <c r="A115" s="1357"/>
      <c r="B115" s="1357"/>
      <c r="C115" s="1355"/>
      <c r="D115" s="1355"/>
      <c r="E115" s="1355"/>
      <c r="F115" s="1355"/>
      <c r="G115" s="1355"/>
      <c r="H115" s="1403"/>
      <c r="I115" s="1403"/>
      <c r="J115" s="1403"/>
      <c r="K115" s="1403"/>
      <c r="L115" s="1403"/>
      <c r="M115" s="1355"/>
      <c r="N115" s="1402"/>
      <c r="O115" s="1469"/>
      <c r="P115" s="1469"/>
      <c r="Q115" s="1469"/>
      <c r="R115" s="1469"/>
      <c r="S115" s="1355"/>
      <c r="T115" s="1355"/>
      <c r="U115" s="1355"/>
      <c r="V115" s="1355"/>
      <c r="W115" s="1355"/>
      <c r="X115" s="1355"/>
      <c r="Y115" s="1512"/>
      <c r="Z115" s="1358"/>
      <c r="AA115" s="1361"/>
      <c r="AB115" s="1358"/>
      <c r="AC115" s="1358"/>
      <c r="AD115" s="1358"/>
    </row>
    <row customHeight="1" ht="9">
      <c r="A116" s="1357"/>
      <c r="B116" s="1357"/>
      <c r="C116" s="1355"/>
      <c r="D116" s="1355"/>
      <c r="E116" s="1355"/>
      <c r="F116" s="1355"/>
      <c r="G116" s="1355"/>
      <c r="H116" s="1403"/>
      <c r="I116" s="1403"/>
      <c r="J116" s="1403"/>
      <c r="K116" s="1403"/>
      <c r="L116" s="1403"/>
      <c r="M116" s="1355"/>
      <c r="N116" s="1402"/>
      <c r="O116" s="1469"/>
      <c r="P116" s="1469"/>
      <c r="Q116" s="1469"/>
      <c r="R116" s="1469"/>
      <c r="S116" s="1355"/>
      <c r="T116" s="1355"/>
      <c r="U116" s="1355"/>
      <c r="V116" s="1355"/>
      <c r="W116" s="1355"/>
      <c r="X116" s="1355"/>
      <c r="Y116" s="1512"/>
      <c r="Z116" s="1358"/>
      <c r="AA116" s="1361"/>
      <c r="AB116" s="1358"/>
      <c r="AC116" s="1358"/>
      <c r="AD116" s="1358"/>
    </row>
    <row customHeight="1" ht="9">
      <c r="A117" s="1357"/>
      <c r="B117" s="1357"/>
      <c r="C117" s="1355"/>
      <c r="D117" s="1355"/>
      <c r="E117" s="1355"/>
      <c r="F117" s="1355"/>
      <c r="G117" s="1355"/>
      <c r="H117" s="1403"/>
      <c r="I117" s="1403"/>
      <c r="J117" s="1403"/>
      <c r="K117" s="1403"/>
      <c r="L117" s="1403"/>
      <c r="M117" s="1355"/>
      <c r="N117" s="1402"/>
      <c r="O117" s="1469"/>
      <c r="P117" s="1469"/>
      <c r="Q117" s="1469"/>
      <c r="R117" s="1469"/>
      <c r="S117" s="1355"/>
      <c r="T117" s="1355"/>
      <c r="U117" s="1355"/>
      <c r="V117" s="1355"/>
      <c r="W117" s="1355"/>
      <c r="X117" s="1355"/>
      <c r="Y117" s="1512"/>
      <c r="Z117" s="1358"/>
      <c r="AA117" s="1361"/>
      <c r="AB117" s="1358"/>
      <c r="AC117" s="1358"/>
      <c r="AD117" s="1358"/>
    </row>
    <row customHeight="1" ht="9">
      <c r="A118" s="1357"/>
      <c r="B118" s="1357"/>
      <c r="C118" s="1355"/>
      <c r="D118" s="1355"/>
      <c r="E118" s="1355"/>
      <c r="F118" s="1355"/>
      <c r="G118" s="1355"/>
      <c r="H118" s="1403"/>
      <c r="I118" s="1403"/>
      <c r="J118" s="1403"/>
      <c r="K118" s="1403"/>
      <c r="L118" s="1403"/>
      <c r="M118" s="1355"/>
      <c r="N118" s="1402"/>
      <c r="O118" s="1469"/>
      <c r="P118" s="1469"/>
      <c r="Q118" s="1469"/>
      <c r="R118" s="1469"/>
      <c r="S118" s="1355"/>
      <c r="T118" s="1355"/>
      <c r="U118" s="1355"/>
      <c r="V118" s="1355"/>
      <c r="W118" s="1355"/>
      <c r="X118" s="1355"/>
      <c r="Y118" s="1512"/>
      <c r="Z118" s="1358"/>
      <c r="AA118" s="1361"/>
      <c r="AB118" s="1358"/>
      <c r="AC118" s="1358"/>
      <c r="AD118" s="1358"/>
    </row>
    <row customHeight="1" ht="9">
      <c r="A119" s="1357"/>
      <c r="B119" s="1357"/>
      <c r="C119" s="1355"/>
      <c r="D119" s="1355"/>
      <c r="E119" s="1355"/>
      <c r="F119" s="1355"/>
      <c r="G119" s="1355"/>
      <c r="H119" s="1403"/>
      <c r="I119" s="1403"/>
      <c r="J119" s="1403"/>
      <c r="K119" s="1403"/>
      <c r="L119" s="1403"/>
      <c r="M119" s="1355"/>
      <c r="N119" s="1402"/>
      <c r="O119" s="1469"/>
      <c r="P119" s="1469"/>
      <c r="Q119" s="1469"/>
      <c r="R119" s="1469"/>
      <c r="S119" s="1355"/>
      <c r="T119" s="1355"/>
      <c r="U119" s="1355"/>
      <c r="V119" s="1355"/>
      <c r="W119" s="1355"/>
      <c r="X119" s="1355"/>
      <c r="Y119" s="1512"/>
      <c r="Z119" s="1358"/>
      <c r="AA119" s="1361"/>
      <c r="AB119" s="1358"/>
      <c r="AC119" s="1358"/>
      <c r="AD119" s="1358"/>
    </row>
    <row customHeight="1" ht="9">
      <c r="A120" s="1357"/>
      <c r="B120" s="1357"/>
      <c r="C120" s="1355"/>
      <c r="D120" s="1355"/>
      <c r="E120" s="1355"/>
      <c r="F120" s="1355"/>
      <c r="G120" s="1355"/>
      <c r="H120" s="1403"/>
      <c r="I120" s="1403"/>
      <c r="J120" s="1403"/>
      <c r="K120" s="1403"/>
      <c r="L120" s="1403"/>
      <c r="M120" s="1355"/>
      <c r="N120" s="1402"/>
      <c r="O120" s="1469"/>
      <c r="P120" s="1469"/>
      <c r="Q120" s="1469"/>
      <c r="R120" s="1469"/>
      <c r="S120" s="1355"/>
      <c r="T120" s="1355"/>
      <c r="U120" s="1355"/>
      <c r="V120" s="1355"/>
      <c r="W120" s="1355"/>
      <c r="X120" s="1355"/>
      <c r="Y120" s="1512"/>
      <c r="Z120" s="1358"/>
      <c r="AA120" s="1361"/>
      <c r="AB120" s="1358"/>
      <c r="AC120" s="1358"/>
      <c r="AD120" s="1358"/>
    </row>
    <row customHeight="1" ht="9">
      <c r="A121" s="1357"/>
      <c r="B121" s="1357"/>
      <c r="C121" s="1355"/>
      <c r="D121" s="1355"/>
      <c r="E121" s="1355"/>
      <c r="F121" s="1355"/>
      <c r="G121" s="1355"/>
      <c r="H121" s="1403"/>
      <c r="I121" s="1403"/>
      <c r="J121" s="1403"/>
      <c r="K121" s="1403"/>
      <c r="L121" s="1403"/>
      <c r="M121" s="1355"/>
      <c r="N121" s="1402"/>
      <c r="O121" s="1469"/>
      <c r="P121" s="1469"/>
      <c r="Q121" s="1469"/>
      <c r="R121" s="1469"/>
      <c r="S121" s="1355"/>
      <c r="T121" s="1355"/>
      <c r="U121" s="1355"/>
      <c r="V121" s="1355"/>
      <c r="W121" s="1355"/>
      <c r="X121" s="1355"/>
      <c r="Y121" s="1512"/>
      <c r="Z121" s="1358"/>
      <c r="AA121" s="1361"/>
      <c r="AB121" s="1358"/>
      <c r="AC121" s="1358"/>
      <c r="AD121" s="1358"/>
    </row>
    <row customHeight="1" ht="9">
      <c r="A122" s="1357"/>
      <c r="B122" s="1357"/>
      <c r="C122" s="1355"/>
      <c r="D122" s="1355"/>
      <c r="E122" s="1355"/>
      <c r="F122" s="1355"/>
      <c r="G122" s="1355"/>
      <c r="H122" s="1403"/>
      <c r="I122" s="1403"/>
      <c r="J122" s="1403"/>
      <c r="K122" s="1403"/>
      <c r="L122" s="1403"/>
      <c r="M122" s="1355"/>
      <c r="N122" s="1402"/>
      <c r="O122" s="1469"/>
      <c r="P122" s="1469"/>
      <c r="Q122" s="1469"/>
      <c r="R122" s="1469"/>
      <c r="S122" s="1355"/>
      <c r="T122" s="1355"/>
      <c r="U122" s="1355"/>
      <c r="V122" s="1355"/>
      <c r="W122" s="1355"/>
      <c r="X122" s="1355"/>
      <c r="Y122" s="1512"/>
      <c r="Z122" s="1358"/>
      <c r="AA122" s="1361"/>
      <c r="AB122" s="1358"/>
      <c r="AC122" s="1358"/>
      <c r="AD122" s="1358"/>
    </row>
    <row customHeight="1" ht="9">
      <c r="A123" s="1357"/>
      <c r="B123" s="1357"/>
      <c r="C123" s="1355"/>
      <c r="D123" s="1355"/>
      <c r="E123" s="1355"/>
      <c r="F123" s="1355"/>
      <c r="G123" s="1355"/>
      <c r="H123" s="1403"/>
      <c r="I123" s="1403"/>
      <c r="J123" s="1403"/>
      <c r="K123" s="1403"/>
      <c r="L123" s="1403"/>
      <c r="M123" s="1355"/>
      <c r="N123" s="1402"/>
      <c r="O123" s="1469"/>
      <c r="P123" s="1469"/>
      <c r="Q123" s="1469"/>
      <c r="R123" s="1469"/>
      <c r="S123" s="1355"/>
      <c r="T123" s="1355"/>
      <c r="U123" s="1355"/>
      <c r="V123" s="1355"/>
      <c r="W123" s="1355"/>
      <c r="X123" s="1355"/>
      <c r="Y123" s="1512"/>
      <c r="Z123" s="1358"/>
      <c r="AA123" s="1361"/>
      <c r="AB123" s="1358"/>
      <c r="AC123" s="1358"/>
      <c r="AD123" s="1358"/>
    </row>
    <row customHeight="1" ht="9">
      <c r="A124" s="1357"/>
      <c r="B124" s="1357"/>
      <c r="C124" s="1355"/>
      <c r="D124" s="1355"/>
      <c r="E124" s="1355"/>
      <c r="F124" s="1355"/>
      <c r="G124" s="1355"/>
      <c r="H124" s="1403"/>
      <c r="I124" s="1403"/>
      <c r="J124" s="1403"/>
      <c r="K124" s="1403"/>
      <c r="L124" s="1403"/>
      <c r="M124" s="1355"/>
      <c r="N124" s="1402"/>
      <c r="O124" s="1469"/>
      <c r="P124" s="1469"/>
      <c r="Q124" s="1469"/>
      <c r="R124" s="1469"/>
      <c r="S124" s="1355"/>
      <c r="T124" s="1355"/>
      <c r="U124" s="1355"/>
      <c r="V124" s="1355"/>
      <c r="W124" s="1355"/>
      <c r="X124" s="1355"/>
      <c r="Y124" s="1512"/>
      <c r="Z124" s="1358"/>
      <c r="AA124" s="1361"/>
      <c r="AB124" s="1358"/>
      <c r="AC124" s="1358"/>
      <c r="AD124" s="1358"/>
    </row>
    <row customHeight="1" ht="9">
      <c r="A125" s="1357"/>
      <c r="B125" s="1357"/>
      <c r="C125" s="1355"/>
      <c r="D125" s="1355"/>
      <c r="E125" s="1355"/>
      <c r="F125" s="1355"/>
      <c r="G125" s="1355"/>
      <c r="H125" s="1403"/>
      <c r="I125" s="1403"/>
      <c r="J125" s="1403"/>
      <c r="K125" s="1403"/>
      <c r="L125" s="1403"/>
      <c r="M125" s="1355"/>
      <c r="N125" s="1402"/>
      <c r="O125" s="1469"/>
      <c r="P125" s="1469"/>
      <c r="Q125" s="1469"/>
      <c r="R125" s="1469"/>
      <c r="S125" s="1355"/>
      <c r="T125" s="1355"/>
      <c r="U125" s="1355"/>
      <c r="V125" s="1355"/>
      <c r="W125" s="1355"/>
      <c r="X125" s="1355"/>
      <c r="Y125" s="1512"/>
      <c r="Z125" s="1358"/>
      <c r="AA125" s="1361"/>
      <c r="AB125" s="1358"/>
      <c r="AC125" s="1358"/>
      <c r="AD125" s="1358"/>
    </row>
    <row customHeight="1" ht="9">
      <c r="A126" s="1357"/>
      <c r="B126" s="1357"/>
      <c r="C126" s="1355"/>
      <c r="D126" s="1355"/>
      <c r="E126" s="1355"/>
      <c r="F126" s="1355"/>
      <c r="G126" s="1355"/>
      <c r="H126" s="1403"/>
      <c r="I126" s="1403"/>
      <c r="J126" s="1403"/>
      <c r="K126" s="1403"/>
      <c r="L126" s="1403"/>
      <c r="M126" s="1355"/>
      <c r="N126" s="1402"/>
      <c r="O126" s="1469"/>
      <c r="P126" s="1469"/>
      <c r="Q126" s="1469"/>
      <c r="R126" s="1469"/>
      <c r="S126" s="1355"/>
      <c r="T126" s="1355"/>
      <c r="U126" s="1355"/>
      <c r="V126" s="1355"/>
      <c r="W126" s="1355"/>
      <c r="X126" s="1355"/>
      <c r="Y126" s="1512"/>
      <c r="Z126" s="1358"/>
      <c r="AA126" s="1361"/>
      <c r="AB126" s="1358"/>
      <c r="AC126" s="1358"/>
      <c r="AD126" s="1358"/>
    </row>
    <row customHeight="1" ht="9">
      <c r="A127" s="1357"/>
      <c r="B127" s="1357"/>
      <c r="C127" s="1355"/>
      <c r="D127" s="1355"/>
      <c r="E127" s="1355"/>
      <c r="F127" s="1355"/>
      <c r="G127" s="1355"/>
      <c r="H127" s="1403"/>
      <c r="I127" s="1403"/>
      <c r="J127" s="1403"/>
      <c r="K127" s="1403"/>
      <c r="L127" s="1403"/>
      <c r="M127" s="1355"/>
      <c r="N127" s="1402"/>
      <c r="O127" s="1469"/>
      <c r="P127" s="1469"/>
      <c r="Q127" s="1469"/>
      <c r="R127" s="1469"/>
      <c r="S127" s="1355"/>
      <c r="T127" s="1355"/>
      <c r="U127" s="1355"/>
      <c r="V127" s="1355"/>
      <c r="W127" s="1355"/>
      <c r="X127" s="1355"/>
      <c r="Y127" s="1512"/>
      <c r="Z127" s="1358"/>
      <c r="AA127" s="1361"/>
      <c r="AB127" s="1358"/>
      <c r="AC127" s="1358"/>
      <c r="AD127" s="1358"/>
    </row>
    <row customHeight="1" ht="9">
      <c r="A128" s="1357"/>
      <c r="B128" s="1357"/>
      <c r="C128" s="1355"/>
      <c r="D128" s="1355"/>
      <c r="E128" s="1355"/>
      <c r="F128" s="1355"/>
      <c r="G128" s="1355"/>
      <c r="H128" s="1403"/>
      <c r="I128" s="1403"/>
      <c r="J128" s="1403"/>
      <c r="K128" s="1403"/>
      <c r="L128" s="1403"/>
      <c r="M128" s="1355"/>
      <c r="N128" s="1402"/>
      <c r="O128" s="1469"/>
      <c r="P128" s="1469"/>
      <c r="Q128" s="1469"/>
      <c r="R128" s="1469"/>
      <c r="S128" s="1355"/>
      <c r="T128" s="1355"/>
      <c r="U128" s="1355"/>
      <c r="V128" s="1355"/>
      <c r="W128" s="1355"/>
      <c r="X128" s="1355"/>
      <c r="Y128" s="1512"/>
      <c r="Z128" s="1358"/>
      <c r="AA128" s="1361"/>
      <c r="AB128" s="1358"/>
      <c r="AC128" s="1358"/>
      <c r="AD128" s="1358"/>
    </row>
    <row customHeight="1" ht="9">
      <c r="A129" s="1357"/>
      <c r="B129" s="1357"/>
      <c r="C129" s="1355"/>
      <c r="D129" s="1355"/>
      <c r="E129" s="1355"/>
      <c r="F129" s="1355"/>
      <c r="G129" s="1355"/>
      <c r="H129" s="1403"/>
      <c r="I129" s="1403"/>
      <c r="J129" s="1403"/>
      <c r="K129" s="1403"/>
      <c r="L129" s="1403"/>
      <c r="M129" s="1355"/>
      <c r="N129" s="1402"/>
      <c r="O129" s="1469"/>
      <c r="P129" s="1469"/>
      <c r="Q129" s="1469"/>
      <c r="R129" s="1469"/>
      <c r="S129" s="1355"/>
      <c r="T129" s="1355"/>
      <c r="U129" s="1355"/>
      <c r="V129" s="1355"/>
      <c r="W129" s="1355"/>
      <c r="X129" s="1355"/>
      <c r="Y129" s="1512"/>
      <c r="Z129" s="1358"/>
      <c r="AA129" s="1361"/>
      <c r="AB129" s="1358"/>
      <c r="AC129" s="1358"/>
      <c r="AD129" s="1358"/>
    </row>
    <row customHeight="1" ht="9">
      <c r="A130" s="1357"/>
      <c r="B130" s="1357"/>
      <c r="C130" s="1355"/>
      <c r="D130" s="1355"/>
      <c r="E130" s="1355"/>
      <c r="F130" s="1355"/>
      <c r="G130" s="1355"/>
      <c r="H130" s="1403"/>
      <c r="I130" s="1403"/>
      <c r="J130" s="1403"/>
      <c r="K130" s="1403"/>
      <c r="L130" s="1403"/>
      <c r="M130" s="1355"/>
      <c r="N130" s="1402"/>
      <c r="O130" s="1471"/>
      <c r="P130" s="1471"/>
      <c r="Q130" s="1471"/>
      <c r="R130" s="1471"/>
      <c r="S130" s="1355"/>
      <c r="T130" s="1355"/>
      <c r="U130" s="1355"/>
      <c r="V130" s="1355"/>
      <c r="W130" s="1355"/>
      <c r="X130" s="1355"/>
      <c r="Y130" s="1512"/>
      <c r="Z130" s="1358"/>
      <c r="AA130" s="1361"/>
      <c r="AB130" s="1358"/>
      <c r="AC130" s="1358"/>
      <c r="AD130" s="1358"/>
    </row>
    <row customHeight="1" ht="9">
      <c r="A131" s="1357"/>
      <c r="B131" s="1357"/>
      <c r="C131" s="1355"/>
      <c r="D131" s="1355"/>
      <c r="E131" s="1355"/>
      <c r="F131" s="1355"/>
      <c r="G131" s="1355"/>
      <c r="H131" s="1403"/>
      <c r="I131" s="1403"/>
      <c r="J131" s="1403"/>
      <c r="K131" s="1403"/>
      <c r="L131" s="1403"/>
      <c r="M131" s="1355"/>
      <c r="N131" s="1402"/>
      <c r="O131" s="1472"/>
      <c r="P131" s="1472"/>
      <c r="Q131" s="1472"/>
      <c r="R131" s="1472"/>
      <c r="S131" s="1355"/>
      <c r="T131" s="1355"/>
      <c r="U131" s="1355"/>
      <c r="V131" s="1355"/>
      <c r="W131" s="1355"/>
      <c r="X131" s="1355"/>
      <c r="Y131" s="1512"/>
      <c r="Z131" s="1358"/>
      <c r="AA131" s="1361"/>
      <c r="AB131" s="1358"/>
      <c r="AC131" s="1358"/>
      <c r="AD131" s="1358"/>
    </row>
    <row customHeight="1" ht="9">
      <c r="A132" s="1357"/>
      <c r="B132" s="1357"/>
      <c r="C132" s="1355"/>
      <c r="D132" s="1355"/>
      <c r="E132" s="1355"/>
      <c r="F132" s="1355"/>
      <c r="G132" s="1355"/>
      <c r="H132" s="1403"/>
      <c r="I132" s="1403"/>
      <c r="J132" s="1403"/>
      <c r="K132" s="1403"/>
      <c r="L132" s="1403"/>
      <c r="M132" s="1355"/>
      <c r="N132" s="1402"/>
      <c r="O132" s="1471"/>
      <c r="P132" s="1471"/>
      <c r="Q132" s="1471"/>
      <c r="R132" s="1471"/>
      <c r="S132" s="1355"/>
      <c r="T132" s="1355"/>
      <c r="U132" s="1355"/>
      <c r="V132" s="1355"/>
      <c r="W132" s="1355"/>
      <c r="X132" s="1355"/>
      <c r="Y132" s="1512"/>
      <c r="Z132" s="1358"/>
      <c r="AA132" s="1361"/>
      <c r="AB132" s="1358"/>
      <c r="AC132" s="1358"/>
      <c r="AD132" s="1358"/>
    </row>
    <row customHeight="1" ht="9">
      <c r="A133" s="1357"/>
      <c r="B133" s="1357"/>
      <c r="C133" s="1355"/>
      <c r="D133" s="1355"/>
      <c r="E133" s="1355"/>
      <c r="F133" s="1355"/>
      <c r="G133" s="1355"/>
      <c r="H133" s="1403"/>
      <c r="I133" s="1403"/>
      <c r="J133" s="1403"/>
      <c r="K133" s="1403"/>
      <c r="L133" s="1403"/>
      <c r="M133" s="1355"/>
      <c r="N133" s="1402"/>
      <c r="O133" s="1472"/>
      <c r="P133" s="1472"/>
      <c r="Q133" s="1472"/>
      <c r="R133" s="1472"/>
      <c r="S133" s="1355"/>
      <c r="T133" s="1355"/>
      <c r="U133" s="1355"/>
      <c r="V133" s="1355"/>
      <c r="W133" s="1355"/>
      <c r="X133" s="1355"/>
      <c r="Y133" s="1512"/>
      <c r="Z133" s="1358"/>
      <c r="AA133" s="1361"/>
      <c r="AB133" s="1358"/>
      <c r="AC133" s="1358"/>
      <c r="AD133" s="1358"/>
    </row>
    <row customHeight="1" ht="9">
      <c r="A134" s="1357"/>
      <c r="B134" s="1357"/>
      <c r="C134" s="1355"/>
      <c r="D134" s="1355"/>
      <c r="E134" s="1355"/>
      <c r="F134" s="1355"/>
      <c r="G134" s="1355"/>
      <c r="H134" s="1403"/>
      <c r="I134" s="1403"/>
      <c r="J134" s="1403"/>
      <c r="K134" s="1403"/>
      <c r="L134" s="1403"/>
      <c r="M134" s="1355"/>
      <c r="N134" s="1402"/>
      <c r="O134" s="1469"/>
      <c r="P134" s="1469"/>
      <c r="Q134" s="1469"/>
      <c r="R134" s="1469"/>
      <c r="S134" s="1355"/>
      <c r="T134" s="1355"/>
      <c r="U134" s="1355"/>
      <c r="V134" s="1355"/>
      <c r="W134" s="1355"/>
      <c r="X134" s="1355"/>
      <c r="Y134" s="1512"/>
      <c r="Z134" s="1358"/>
      <c r="AA134" s="1361"/>
      <c r="AB134" s="1358"/>
      <c r="AC134" s="1358"/>
      <c r="AD134" s="1358"/>
    </row>
    <row customHeight="1" ht="9">
      <c r="A135" s="1357"/>
      <c r="B135" s="1357"/>
      <c r="C135" s="1355"/>
      <c r="D135" s="1355"/>
      <c r="E135" s="1355"/>
      <c r="F135" s="1355"/>
      <c r="G135" s="1355"/>
      <c r="H135" s="1403"/>
      <c r="I135" s="1403"/>
      <c r="J135" s="1403"/>
      <c r="K135" s="1403"/>
      <c r="L135" s="1403"/>
      <c r="M135" s="1355"/>
      <c r="N135" s="1402"/>
      <c r="O135" s="1469"/>
      <c r="P135" s="1469"/>
      <c r="Q135" s="1469"/>
      <c r="R135" s="1469"/>
      <c r="S135" s="1355"/>
      <c r="T135" s="1355"/>
      <c r="U135" s="1355"/>
      <c r="V135" s="1355"/>
      <c r="W135" s="1355"/>
      <c r="X135" s="1355"/>
      <c r="Y135" s="1512"/>
      <c r="Z135" s="1358"/>
      <c r="AA135" s="1361"/>
      <c r="AB135" s="1358"/>
      <c r="AC135" s="1358"/>
      <c r="AD135" s="1358"/>
    </row>
    <row customHeight="1" ht="9">
      <c r="A136" s="1357"/>
      <c r="B136" s="1357"/>
      <c r="C136" s="1355"/>
      <c r="D136" s="1355"/>
      <c r="E136" s="1355"/>
      <c r="F136" s="1355"/>
      <c r="G136" s="1355"/>
      <c r="H136" s="1403"/>
      <c r="I136" s="1403"/>
      <c r="J136" s="1403"/>
      <c r="K136" s="1403"/>
      <c r="L136" s="1403"/>
      <c r="M136" s="1355"/>
      <c r="N136" s="1402"/>
      <c r="O136" s="1469"/>
      <c r="P136" s="1469"/>
      <c r="Q136" s="1469"/>
      <c r="R136" s="1469"/>
      <c r="S136" s="1355"/>
      <c r="T136" s="1355"/>
      <c r="U136" s="1355"/>
      <c r="V136" s="1355"/>
      <c r="W136" s="1355"/>
      <c r="X136" s="1355"/>
      <c r="Y136" s="1512"/>
      <c r="Z136" s="1358"/>
      <c r="AA136" s="1361"/>
      <c r="AB136" s="1358"/>
      <c r="AC136" s="1358"/>
      <c r="AD136" s="1358"/>
    </row>
    <row customHeight="1" ht="9">
      <c r="A137" s="1357"/>
      <c r="B137" s="1357"/>
      <c r="C137" s="1355"/>
      <c r="D137" s="1355"/>
      <c r="E137" s="1355"/>
      <c r="F137" s="1355"/>
      <c r="G137" s="1355"/>
      <c r="H137" s="1403"/>
      <c r="I137" s="1403"/>
      <c r="J137" s="1403"/>
      <c r="K137" s="1403"/>
      <c r="L137" s="1403"/>
      <c r="M137" s="1355"/>
      <c r="N137" s="1402"/>
      <c r="O137" s="1473"/>
      <c r="P137" s="1473"/>
      <c r="Q137" s="1473"/>
      <c r="R137" s="1473"/>
      <c r="S137" s="1355"/>
      <c r="T137" s="1355"/>
      <c r="U137" s="1355"/>
      <c r="V137" s="1355"/>
      <c r="W137" s="1355"/>
      <c r="X137" s="1355"/>
      <c r="Y137" s="1512"/>
      <c r="Z137" s="1358"/>
      <c r="AA137" s="1361"/>
      <c r="AB137" s="1358"/>
      <c r="AC137" s="1358"/>
      <c r="AD137" s="1358"/>
    </row>
    <row customHeight="1" ht="9">
      <c r="A138" s="1357"/>
      <c r="B138" s="1357"/>
      <c r="C138" s="1355"/>
      <c r="D138" s="1355"/>
      <c r="E138" s="1355"/>
      <c r="F138" s="1355"/>
      <c r="G138" s="1355"/>
      <c r="H138" s="1403"/>
      <c r="I138" s="1403"/>
      <c r="J138" s="1403"/>
      <c r="K138" s="1403"/>
      <c r="L138" s="1403"/>
      <c r="M138" s="1355"/>
      <c r="N138" s="1402"/>
      <c r="O138" s="1470"/>
      <c r="P138" s="1470"/>
      <c r="Q138" s="1470"/>
      <c r="R138" s="1470"/>
      <c r="S138" s="1355"/>
      <c r="T138" s="1355"/>
      <c r="U138" s="1355"/>
      <c r="V138" s="1355"/>
      <c r="W138" s="1355"/>
      <c r="X138" s="1355"/>
      <c r="Y138" s="1512"/>
      <c r="Z138" s="1358"/>
      <c r="AA138" s="1361"/>
      <c r="AB138" s="1358"/>
      <c r="AC138" s="1358"/>
      <c r="AD138" s="1358"/>
    </row>
    <row customHeight="1" ht="9">
      <c r="A139" s="1357"/>
      <c r="B139" s="1357"/>
      <c r="C139" s="1355"/>
      <c r="D139" s="1355"/>
      <c r="E139" s="1355"/>
      <c r="F139" s="1355"/>
      <c r="G139" s="1355"/>
      <c r="H139" s="1403"/>
      <c r="I139" s="1403"/>
      <c r="J139" s="1403"/>
      <c r="K139" s="1403"/>
      <c r="L139" s="1403"/>
      <c r="M139" s="1355"/>
      <c r="N139" s="1402"/>
      <c r="O139" s="1355"/>
      <c r="P139" s="1355"/>
      <c r="Q139" s="1355"/>
      <c r="R139" s="1355"/>
      <c r="S139" s="1355"/>
      <c r="T139" s="1355"/>
      <c r="U139" s="1355"/>
      <c r="V139" s="1355"/>
      <c r="W139" s="1355"/>
      <c r="X139" s="1355"/>
      <c r="Y139" s="1512"/>
      <c r="Z139" s="1358"/>
      <c r="AA139" s="1361"/>
      <c r="AB139" s="1358"/>
      <c r="AC139" s="1358"/>
      <c r="AD139" s="1358"/>
    </row>
    <row customHeight="1" ht="9">
      <c r="A140" s="1357"/>
      <c r="B140" s="1357"/>
      <c r="C140" s="1355"/>
      <c r="D140" s="1355"/>
      <c r="E140" s="1355"/>
      <c r="F140" s="1355"/>
      <c r="G140" s="1355"/>
      <c r="H140" s="1403"/>
      <c r="I140" s="1403"/>
      <c r="J140" s="1403"/>
      <c r="K140" s="1403"/>
      <c r="L140" s="1403"/>
      <c r="M140" s="1355"/>
      <c r="N140" s="1402"/>
      <c r="O140" s="1355"/>
      <c r="P140" s="1355"/>
      <c r="Q140" s="1355"/>
      <c r="R140" s="1355"/>
      <c r="S140" s="1355"/>
      <c r="T140" s="1355"/>
      <c r="U140" s="1355"/>
      <c r="V140" s="1355"/>
      <c r="W140" s="1355"/>
      <c r="X140" s="1355"/>
      <c r="Y140" s="1512"/>
      <c r="Z140" s="1358"/>
      <c r="AA140" s="1361"/>
      <c r="AB140" s="1358"/>
      <c r="AC140" s="1358"/>
      <c r="AD140" s="1358"/>
    </row>
    <row customHeight="1" ht="9">
      <c r="A141" s="1357"/>
      <c r="B141" s="1357"/>
      <c r="C141" s="1355"/>
      <c r="D141" s="1355"/>
      <c r="E141" s="1355"/>
      <c r="F141" s="1355"/>
      <c r="G141" s="1355"/>
      <c r="H141" s="1403"/>
      <c r="I141" s="1403"/>
      <c r="J141" s="1403"/>
      <c r="K141" s="1403"/>
      <c r="L141" s="1403"/>
      <c r="M141" s="1355"/>
      <c r="N141" s="1402"/>
      <c r="O141" s="1355"/>
      <c r="P141" s="1355"/>
      <c r="Q141" s="1355"/>
      <c r="R141" s="1355"/>
      <c r="S141" s="1355"/>
      <c r="T141" s="1355"/>
      <c r="U141" s="1355"/>
      <c r="V141" s="1355"/>
      <c r="W141" s="1355"/>
      <c r="X141" s="1355"/>
      <c r="Y141" s="1512"/>
      <c r="Z141" s="1358"/>
      <c r="AA141" s="1361"/>
      <c r="AB141" s="1358"/>
      <c r="AC141" s="1358"/>
      <c r="AD141" s="1358"/>
    </row>
    <row customHeight="1" ht="9">
      <c r="A142" s="1357"/>
      <c r="B142" s="1357"/>
      <c r="C142" s="1355"/>
      <c r="D142" s="1355"/>
      <c r="E142" s="1355"/>
      <c r="F142" s="1355"/>
      <c r="G142" s="1355"/>
      <c r="H142" s="1403"/>
      <c r="I142" s="1403"/>
      <c r="J142" s="1403"/>
      <c r="K142" s="1403"/>
      <c r="L142" s="1403"/>
      <c r="M142" s="1355"/>
      <c r="N142" s="1402"/>
      <c r="O142" s="1355"/>
      <c r="P142" s="1355"/>
      <c r="Q142" s="1355"/>
      <c r="R142" s="1355"/>
      <c r="S142" s="1355"/>
      <c r="T142" s="1355"/>
      <c r="U142" s="1355"/>
      <c r="V142" s="1355"/>
      <c r="W142" s="1355"/>
      <c r="X142" s="1355"/>
      <c r="Y142" s="1512"/>
      <c r="Z142" s="1358"/>
      <c r="AA142" s="1361"/>
      <c r="AB142" s="1358"/>
      <c r="AC142" s="1358"/>
      <c r="AD142" s="1358"/>
    </row>
    <row customHeight="1" ht="9">
      <c r="A143" s="1357"/>
      <c r="B143" s="1357"/>
      <c r="C143" s="1355"/>
      <c r="D143" s="1355"/>
      <c r="E143" s="1355"/>
      <c r="F143" s="1355"/>
      <c r="G143" s="1355"/>
      <c r="H143" s="1403"/>
      <c r="I143" s="1403"/>
      <c r="J143" s="1403"/>
      <c r="K143" s="1403"/>
      <c r="L143" s="1403"/>
      <c r="M143" s="1355"/>
      <c r="N143" s="1402"/>
      <c r="O143" s="1355"/>
      <c r="P143" s="1355"/>
      <c r="Q143" s="1355"/>
      <c r="R143" s="1355"/>
      <c r="S143" s="1355"/>
      <c r="T143" s="1355"/>
      <c r="U143" s="1355"/>
      <c r="V143" s="1355"/>
      <c r="W143" s="1355"/>
      <c r="X143" s="1355"/>
      <c r="Y143" s="1512"/>
      <c r="Z143" s="1358"/>
      <c r="AA143" s="1361"/>
      <c r="AB143" s="1358"/>
      <c r="AC143" s="1358"/>
      <c r="AD143" s="1358"/>
    </row>
    <row customHeight="1" ht="9">
      <c r="A144" s="1357"/>
      <c r="B144" s="1357"/>
      <c r="C144" s="1355"/>
      <c r="D144" s="1355"/>
      <c r="E144" s="1355"/>
      <c r="F144" s="1355"/>
      <c r="G144" s="1355"/>
      <c r="H144" s="1403"/>
      <c r="I144" s="1403"/>
      <c r="J144" s="1403"/>
      <c r="K144" s="1403"/>
      <c r="L144" s="1403"/>
      <c r="M144" s="1355"/>
      <c r="N144" s="1402"/>
      <c r="O144" s="1355"/>
      <c r="P144" s="1355"/>
      <c r="Q144" s="1355"/>
      <c r="R144" s="1355"/>
      <c r="S144" s="1355"/>
      <c r="T144" s="1355"/>
      <c r="U144" s="1355"/>
      <c r="V144" s="1355"/>
      <c r="W144" s="1355"/>
      <c r="X144" s="1355"/>
      <c r="Y144" s="1512"/>
      <c r="Z144" s="1358"/>
      <c r="AA144" s="1361"/>
      <c r="AB144" s="1358"/>
      <c r="AC144" s="1358"/>
      <c r="AD144" s="1358"/>
    </row>
    <row customHeight="1" ht="9">
      <c r="A145" s="1357"/>
      <c r="B145" s="1357"/>
      <c r="C145" s="1355"/>
      <c r="D145" s="1355"/>
      <c r="E145" s="1355"/>
      <c r="F145" s="1355"/>
      <c r="G145" s="1355"/>
      <c r="H145" s="1403"/>
      <c r="I145" s="1403"/>
      <c r="J145" s="1403"/>
      <c r="K145" s="1403"/>
      <c r="L145" s="1403"/>
      <c r="M145" s="1355"/>
      <c r="N145" s="1402"/>
      <c r="O145" s="1355"/>
      <c r="P145" s="1355"/>
      <c r="Q145" s="1355"/>
      <c r="R145" s="1355"/>
      <c r="S145" s="1355"/>
      <c r="T145" s="1355"/>
      <c r="U145" s="1355"/>
      <c r="V145" s="1355"/>
      <c r="W145" s="1355"/>
      <c r="X145" s="1355"/>
      <c r="Y145" s="1512"/>
      <c r="Z145" s="1358"/>
      <c r="AA145" s="1361"/>
      <c r="AB145" s="1358"/>
      <c r="AC145" s="1358"/>
      <c r="AD145" s="1358"/>
    </row>
    <row customHeight="1" ht="9">
      <c r="A146" s="1357"/>
      <c r="B146" s="1357"/>
      <c r="C146" s="1355"/>
      <c r="D146" s="1355"/>
      <c r="E146" s="1355"/>
      <c r="F146" s="1355"/>
      <c r="G146" s="1355"/>
      <c r="H146" s="1403"/>
      <c r="I146" s="1403"/>
      <c r="J146" s="1403"/>
      <c r="K146" s="1403"/>
      <c r="L146" s="1403"/>
      <c r="M146" s="1355"/>
      <c r="N146" s="1402"/>
      <c r="O146" s="1355"/>
      <c r="P146" s="1355"/>
      <c r="Q146" s="1355"/>
      <c r="R146" s="1355"/>
      <c r="S146" s="1355"/>
      <c r="T146" s="1355"/>
      <c r="U146" s="1355"/>
      <c r="V146" s="1355"/>
      <c r="W146" s="1355"/>
      <c r="X146" s="1355"/>
      <c r="Y146" s="1512"/>
      <c r="Z146" s="1358"/>
      <c r="AA146" s="1361"/>
      <c r="AB146" s="1358"/>
      <c r="AC146" s="1358"/>
      <c r="AD146" s="1358"/>
    </row>
    <row customHeight="1" ht="9">
      <c r="A147" s="1357"/>
      <c r="B147" s="1357"/>
      <c r="C147" s="1357"/>
      <c r="D147" s="1357"/>
      <c r="E147" s="1357"/>
      <c r="F147" s="1357"/>
      <c r="G147" s="1357"/>
      <c r="H147" s="1357"/>
      <c r="I147" s="1357"/>
      <c r="J147" s="1357"/>
      <c r="K147" s="1357"/>
      <c r="L147" s="1357"/>
      <c r="M147" s="1357"/>
      <c r="N147" s="1357"/>
      <c r="O147" s="1357"/>
      <c r="P147" s="1357"/>
      <c r="Q147" s="1357"/>
      <c r="R147" s="1357"/>
      <c r="S147" s="1357"/>
      <c r="T147" s="1357"/>
      <c r="U147" s="1357"/>
      <c r="V147" s="1357"/>
      <c r="W147" s="1357"/>
      <c r="X147" s="1357"/>
      <c r="Y147" s="1357"/>
      <c r="Z147" s="1357"/>
      <c r="AA147" s="1357"/>
      <c r="AB147" s="1357"/>
      <c r="AC147" s="1357"/>
      <c r="AD147" s="1357"/>
    </row>
    <row customHeight="1" ht="90">
      <c r="A148" s="1357" t="s">
        <v>1799</v>
      </c>
      <c r="B148" s="1357"/>
      <c r="C148" s="1355" t="s">
        <v>2363</v>
      </c>
      <c r="D148" s="1355" t="s">
        <v>1704</v>
      </c>
      <c r="E148" s="1355" t="s">
        <v>1801</v>
      </c>
      <c r="F148" s="1355" t="s">
        <v>2364</v>
      </c>
      <c r="G148" s="1355"/>
      <c r="H148" s="1355"/>
      <c r="I148" s="1475"/>
      <c r="J148" s="1475"/>
      <c r="K148" s="1475"/>
      <c r="L148" s="1475"/>
      <c r="M148" s="140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360"/>
      <c r="O148" s="1355"/>
      <c r="P148" s="1356"/>
      <c r="Q148" s="1356"/>
      <c r="R148" s="1356"/>
      <c r="S148" s="1355"/>
      <c r="T148" s="1355" t="s">
        <v>2365</v>
      </c>
      <c r="U148" s="13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356"/>
      <c r="W148" s="1356"/>
      <c r="X148" s="1355" t="s">
        <v>2366</v>
      </c>
      <c r="Y148" s="1512"/>
      <c r="Z148" s="1358"/>
      <c r="AA148" s="1361"/>
      <c r="AB148" s="1358"/>
      <c r="AC148" s="1358"/>
      <c r="AD148" s="1358"/>
    </row>
    <row customHeight="1" ht="9">
      <c r="A149" s="1357"/>
      <c r="B149" s="1357"/>
      <c r="C149" s="1357"/>
      <c r="D149" s="1357"/>
      <c r="E149" s="1357"/>
      <c r="F149" s="1357"/>
      <c r="G149" s="1357"/>
      <c r="H149" s="1357"/>
      <c r="I149" s="1357"/>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57"/>
      <c r="AD149" s="1357"/>
    </row>
    <row customHeight="1" ht="9">
      <c r="A150" s="1357" t="s">
        <v>1803</v>
      </c>
      <c r="B150" s="1357"/>
      <c r="C150" s="1355"/>
      <c r="D150" s="1355"/>
      <c r="E150" s="1355"/>
      <c r="F150" s="1355"/>
      <c r="G150" s="1355"/>
      <c r="H150" s="1355"/>
      <c r="I150" s="1355"/>
      <c r="J150" s="1355"/>
      <c r="K150" s="1355"/>
      <c r="L150" s="1355"/>
      <c r="M150" s="1355"/>
      <c r="N150" s="1355"/>
      <c r="O150" s="1355"/>
      <c r="P150" s="1355"/>
      <c r="Q150" s="1355"/>
      <c r="R150" s="1355"/>
      <c r="S150" s="1355"/>
      <c r="T150" s="1355"/>
      <c r="U150" s="1355"/>
      <c r="V150" s="1355"/>
      <c r="W150" s="1355"/>
      <c r="X150" s="1355"/>
      <c r="Y150" s="1512"/>
      <c r="Z150" s="1358"/>
      <c r="AA150" s="1361"/>
      <c r="AB150" s="1358"/>
      <c r="AC150" s="1358"/>
      <c r="AD150" s="1358"/>
    </row>
    <row customHeight="1" ht="9">
      <c r="A151" s="1357"/>
      <c r="B151" s="1357"/>
      <c r="C151" s="1357"/>
      <c r="D151" s="1357"/>
      <c r="E151" s="1357"/>
      <c r="F151" s="1357"/>
      <c r="G151" s="1357"/>
      <c r="H151" s="1357"/>
      <c r="I151" s="1357"/>
      <c r="J151" s="1357"/>
      <c r="K151" s="1357"/>
      <c r="L151" s="1357"/>
      <c r="M151" s="1357"/>
      <c r="N151" s="1357"/>
      <c r="O151" s="1357"/>
      <c r="P151" s="1357"/>
      <c r="Q151" s="1357"/>
      <c r="R151" s="1357"/>
      <c r="S151" s="1357"/>
      <c r="T151" s="1357"/>
      <c r="U151" s="1357"/>
      <c r="V151" s="1357"/>
      <c r="W151" s="1357"/>
      <c r="X151" s="1357"/>
      <c r="Y151" s="1357"/>
      <c r="Z151" s="1357"/>
      <c r="AA151" s="1357"/>
      <c r="AB151" s="1357"/>
      <c r="AC151" s="1357"/>
      <c r="AD151" s="1357"/>
    </row>
    <row customHeight="1" ht="9">
      <c r="A152" s="1357" t="s">
        <v>1806</v>
      </c>
      <c r="B152" s="1357"/>
      <c r="C152" s="1355"/>
      <c r="D152" s="1355"/>
      <c r="E152" s="1355"/>
      <c r="F152" s="1355"/>
      <c r="G152" s="1355"/>
      <c r="H152" s="1355"/>
      <c r="I152" s="1355"/>
      <c r="J152" s="1355"/>
      <c r="K152" s="1355"/>
      <c r="L152" s="1355"/>
      <c r="M152" s="1355"/>
      <c r="N152" s="1355"/>
      <c r="O152" s="1355"/>
      <c r="P152" s="1355"/>
      <c r="Q152" s="1355"/>
      <c r="R152" s="1355"/>
      <c r="S152" s="1355"/>
      <c r="T152" s="1355"/>
      <c r="U152" s="1355"/>
      <c r="V152" s="1355"/>
      <c r="W152" s="1355"/>
      <c r="X152" s="1355"/>
      <c r="Y152" s="1512"/>
      <c r="Z152" s="1358"/>
      <c r="AA152" s="1361"/>
      <c r="AB152" s="1358"/>
      <c r="AC152" s="1358"/>
      <c r="AD152" s="1358"/>
    </row>
    <row customHeight="1" ht="9">
      <c r="A153" s="1357"/>
      <c r="B153" s="1357"/>
      <c r="C153" s="1357"/>
      <c r="D153" s="1357"/>
      <c r="E153" s="1357"/>
      <c r="F153" s="1357"/>
      <c r="G153" s="1357"/>
      <c r="H153" s="1357"/>
      <c r="I153" s="1357"/>
      <c r="J153" s="1357"/>
      <c r="K153" s="1357"/>
      <c r="L153" s="1357"/>
      <c r="M153" s="1357"/>
      <c r="N153" s="1357"/>
      <c r="O153" s="1357"/>
      <c r="P153" s="1357"/>
      <c r="Q153" s="1357"/>
      <c r="R153" s="1357"/>
      <c r="S153" s="1357"/>
      <c r="T153" s="1357"/>
      <c r="U153" s="1357"/>
      <c r="V153" s="1357"/>
      <c r="W153" s="1357"/>
      <c r="X153" s="1357"/>
      <c r="Y153" s="1357"/>
      <c r="Z153" s="1357"/>
      <c r="AA153" s="1357"/>
      <c r="AB153" s="1357"/>
      <c r="AC153" s="1357"/>
      <c r="AD153" s="1357"/>
    </row>
    <row customHeight="1" ht="9">
      <c r="A154" s="1357" t="s">
        <v>1811</v>
      </c>
      <c r="B154" s="1357"/>
      <c r="C154" s="1355"/>
      <c r="D154" s="1355"/>
      <c r="E154" s="1355"/>
      <c r="F154" s="1355"/>
      <c r="G154" s="1355"/>
      <c r="H154" s="1355"/>
      <c r="I154" s="1355"/>
      <c r="J154" s="1355"/>
      <c r="K154" s="1355"/>
      <c r="L154" s="1355"/>
      <c r="M154" s="1355"/>
      <c r="N154" s="1355"/>
      <c r="O154" s="1355"/>
      <c r="P154" s="1355"/>
      <c r="Q154" s="1355"/>
      <c r="R154" s="1355"/>
      <c r="S154" s="1355"/>
      <c r="T154" s="1355"/>
      <c r="U154" s="1355"/>
      <c r="V154" s="1355"/>
      <c r="W154" s="1355"/>
      <c r="X154" s="1355"/>
      <c r="Y154" s="1512"/>
      <c r="Z154" s="1358"/>
      <c r="AA154" s="1361"/>
      <c r="AB154" s="1358"/>
      <c r="AC154" s="1358"/>
      <c r="AD154" s="135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8FE65D-85C1-C089-4D36-28E3765BA78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50881" width="10.57421875" hidden="1"/>
    <col min="2" max="2" style="50881" width="11.00390625" hidden="1" customWidth="1"/>
    <col min="3" max="3" style="50881" width="10.57421875" hidden="1"/>
    <col min="4" max="4" style="50881" width="11.8515625" hidden="1" customWidth="1"/>
    <col min="5" max="5" style="50881" width="12.28125" hidden="1" customWidth="1"/>
    <col min="6" max="8" style="51807" width="12.28125" hidden="1" customWidth="1"/>
    <col min="9" max="9" style="51808" width="3.00390625" customWidth="1"/>
    <col min="10" max="11" style="51809" width="3.00390625" customWidth="1"/>
    <col min="12" max="12" style="51810" width="12.00390625" customWidth="1"/>
    <col min="13" max="13" style="50801" width="31.00390625" customWidth="1"/>
    <col min="14" max="14" style="50801" width="1.00390625" customWidth="1"/>
    <col min="15" max="18" style="50801" width="24.00390625" customWidth="1"/>
    <col min="19" max="19" style="50801" width="11.00390625" customWidth="1"/>
    <col min="20" max="20" style="50801" width="3.7109375" customWidth="1"/>
    <col min="21" max="21" style="50801" width="11.00390625" customWidth="1"/>
    <col min="22" max="22" style="50801" width="8.57421875" customWidth="1"/>
    <col min="23" max="23" style="50801" width="4.00390625" customWidth="1"/>
    <col min="24" max="24" style="50801" width="115.00390625" customWidth="1"/>
    <col min="25" max="29" style="50882" width="10.00390625" customWidth="1"/>
    <col min="30" max="30" style="50801" width="10.57421875" hidden="1"/>
  </cols>
  <sheetData>
    <row customHeight="1" ht="22.5" hidden="1">
      <c r="R1" s="839"/>
      <c r="S1" s="839"/>
      <c r="AD1" s="1667" t="s">
        <v>14</v>
      </c>
    </row>
    <row customHeight="1" ht="14.25" hidden="1">
      <c r="V2" s="839"/>
      <c r="AD2" s="1667">
        <v>0</v>
      </c>
    </row>
    <row customHeight="1" ht="14.25" hidden="1">
      <c r="AD3" s="1667">
        <v>0</v>
      </c>
    </row>
    <row customHeight="1" ht="14.699999999999998">
      <c r="J4" s="888"/>
      <c r="K4" s="888"/>
      <c r="L4" s="1787"/>
      <c r="M4" s="875"/>
      <c r="N4" s="875"/>
      <c r="O4" s="1021"/>
      <c r="P4" s="1021"/>
      <c r="Q4" s="1021"/>
      <c r="R4" s="1021"/>
      <c r="S4" s="1021"/>
      <c r="T4" s="1021"/>
      <c r="U4" s="1021"/>
      <c r="V4" s="1021"/>
      <c r="AD4" s="1667">
        <v>14</v>
      </c>
    </row>
    <row customHeight="1" ht="67.2">
      <c r="J5" s="888"/>
      <c r="K5" s="888"/>
      <c r="L5" s="3115" t="s">
        <v>2367</v>
      </c>
      <c r="M5" s="3115"/>
      <c r="N5" s="3115"/>
      <c r="O5" s="3115"/>
      <c r="P5" s="3115"/>
      <c r="Q5" s="3115"/>
      <c r="R5" s="3115"/>
      <c r="S5" s="3115"/>
      <c r="T5" s="3115"/>
      <c r="U5" s="3115"/>
      <c r="V5" s="1755"/>
      <c r="AD5" s="1667">
        <v>64</v>
      </c>
    </row>
    <row customHeight="1" ht="14.699999999999998">
      <c r="J6" s="888"/>
      <c r="K6" s="888"/>
      <c r="L6" s="3116" t="str">
        <f>IF(org=0,"Не определено",org)</f>
        <v>КГУП "Примтеплоэнерго"</v>
      </c>
      <c r="M6" s="3116"/>
      <c r="N6" s="3116"/>
      <c r="O6" s="3116"/>
      <c r="P6" s="3116"/>
      <c r="Q6" s="3116"/>
      <c r="R6" s="3116"/>
      <c r="S6" s="3116"/>
      <c r="T6" s="3116"/>
      <c r="U6" s="3116"/>
      <c r="V6" s="1755"/>
      <c r="AD6" s="1667">
        <v>14</v>
      </c>
    </row>
    <row customHeight="1" ht="14.699999999999998">
      <c r="J7" s="888"/>
      <c r="K7" s="888"/>
      <c r="L7" s="1787"/>
      <c r="M7" s="875"/>
      <c r="N7" s="875"/>
      <c r="O7" s="834"/>
      <c r="P7" s="834"/>
      <c r="Q7" s="834"/>
      <c r="R7" s="834"/>
      <c r="S7" s="834"/>
      <c r="T7" s="834"/>
      <c r="U7" s="834"/>
      <c r="V7" s="834"/>
      <c r="W7" s="1021"/>
      <c r="AD7" s="1667">
        <v>14</v>
      </c>
    </row>
    <row s="51018" customFormat="1" customHeight="1" ht="48.29999999999999">
      <c r="A8" s="1880"/>
      <c r="B8" s="1880"/>
      <c r="C8" s="1880"/>
      <c r="D8" s="1880"/>
      <c r="E8" s="1880"/>
      <c r="F8" s="1880"/>
      <c r="G8" s="1880"/>
      <c r="H8" s="1880"/>
      <c r="L8" s="1788"/>
      <c r="M8" s="807" t="s">
        <v>42</v>
      </c>
      <c r="N8" s="816"/>
      <c r="O8" s="2763" t="str">
        <f>IF(TITLE_NAME_OR_PR_CHANGE="",IF(TITLE_NAME_OR_PR="","",TITLE_NAME_OR_PR),TITLE_NAME_OR_PR_CHANGE)</f>
        <v>Агентство по тарифам Приморского края</v>
      </c>
      <c r="P8" s="2763"/>
      <c r="Q8" s="2763"/>
      <c r="R8" s="2763"/>
      <c r="S8" s="2763"/>
      <c r="T8" s="2763"/>
      <c r="U8" s="2763"/>
      <c r="V8" s="838"/>
      <c r="W8" s="838"/>
      <c r="X8" s="792"/>
      <c r="Y8" s="880"/>
      <c r="Z8" s="880"/>
      <c r="AA8" s="880"/>
      <c r="AB8" s="880"/>
      <c r="AC8" s="880"/>
      <c r="AD8" s="930">
        <v>46</v>
      </c>
    </row>
    <row s="51018" customFormat="1" customHeight="1" ht="24">
      <c r="A9" s="1880"/>
      <c r="B9" s="1880"/>
      <c r="C9" s="1880"/>
      <c r="D9" s="1880"/>
      <c r="E9" s="1880"/>
      <c r="F9" s="1880"/>
      <c r="G9" s="1880"/>
      <c r="H9" s="1880"/>
      <c r="L9" s="1788"/>
      <c r="M9" s="807" t="s">
        <v>560</v>
      </c>
      <c r="N9" s="816"/>
      <c r="O9" s="2763" t="str">
        <f>IF(TITLE_DATE_CHANGE_PERIOD="",IF(TITLE_DATE_PR="","",TITLE_DATE_PR),TITLE_DATE_CHANGE_PERIOD)</f>
        <v>45639.709340277775</v>
      </c>
      <c r="P9" s="2763"/>
      <c r="Q9" s="2763"/>
      <c r="R9" s="2763"/>
      <c r="S9" s="2763"/>
      <c r="T9" s="2763"/>
      <c r="U9" s="2763"/>
      <c r="V9" s="838"/>
      <c r="W9" s="838"/>
      <c r="X9" s="792"/>
      <c r="Y9" s="880"/>
      <c r="Z9" s="880"/>
      <c r="AA9" s="880"/>
      <c r="AB9" s="880"/>
      <c r="AC9" s="880"/>
      <c r="AD9" s="930">
        <v>23</v>
      </c>
    </row>
    <row s="51018" customFormat="1" customHeight="1" ht="24">
      <c r="A10" s="1880"/>
      <c r="B10" s="1880"/>
      <c r="C10" s="1880"/>
      <c r="D10" s="1880"/>
      <c r="E10" s="1880"/>
      <c r="F10" s="1880"/>
      <c r="G10" s="1880"/>
      <c r="H10" s="1880"/>
      <c r="L10" s="1762"/>
      <c r="M10" s="807" t="s">
        <v>561</v>
      </c>
      <c r="N10" s="816"/>
      <c r="O10" s="2763" t="str">
        <f>IF(TITLE_NUMBER_PR_CHANGE="",IF(TITLE_NUMBER_PR="","",TITLE_NUMBER_PR),TITLE_NUMBER_PR_CHANGE)</f>
        <v>53/9</v>
      </c>
      <c r="P10" s="2763"/>
      <c r="Q10" s="2763"/>
      <c r="R10" s="2763"/>
      <c r="S10" s="2763"/>
      <c r="T10" s="2763"/>
      <c r="U10" s="2763"/>
      <c r="V10" s="838"/>
      <c r="W10" s="838"/>
      <c r="X10" s="792"/>
      <c r="Y10" s="880"/>
      <c r="Z10" s="880"/>
      <c r="AA10" s="880"/>
      <c r="AB10" s="880"/>
      <c r="AC10" s="880"/>
      <c r="AD10" s="930">
        <v>23</v>
      </c>
    </row>
    <row s="51018" customFormat="1" customHeight="1" ht="24">
      <c r="A11" s="1880"/>
      <c r="B11" s="1880"/>
      <c r="C11" s="1880"/>
      <c r="D11" s="1880"/>
      <c r="E11" s="1880"/>
      <c r="F11" s="1880"/>
      <c r="G11" s="1880"/>
      <c r="H11" s="1880"/>
      <c r="L11" s="1762"/>
      <c r="M11" s="807" t="s">
        <v>44</v>
      </c>
      <c r="N11" s="816"/>
      <c r="O11" s="2763" t="str">
        <f>IF(TITLE_IST_PUB_CHANGE="",IF(TITLE_IST_PUB="","",TITLE_IST_PUB),TITLE_IST_PUB_CHANGE)</f>
        <v>http://pravo.gov.ru</v>
      </c>
      <c r="P11" s="2763"/>
      <c r="Q11" s="2763"/>
      <c r="R11" s="2763"/>
      <c r="S11" s="2763"/>
      <c r="T11" s="2763"/>
      <c r="U11" s="2763"/>
      <c r="V11" s="838"/>
      <c r="W11" s="838"/>
      <c r="X11" s="792"/>
      <c r="Y11" s="880"/>
      <c r="Z11" s="880"/>
      <c r="AA11" s="880"/>
      <c r="AB11" s="880"/>
      <c r="AC11" s="880"/>
      <c r="AD11" s="930">
        <v>23</v>
      </c>
    </row>
    <row s="51018" customFormat="1" customHeight="1" ht="11.25" hidden="1">
      <c r="A12" s="1880"/>
      <c r="B12" s="1880"/>
      <c r="C12" s="1880"/>
      <c r="D12" s="1880"/>
      <c r="E12" s="1880"/>
      <c r="F12" s="1880"/>
      <c r="G12" s="1880"/>
      <c r="H12" s="1880"/>
      <c r="L12" s="3117"/>
      <c r="M12" s="3117"/>
      <c r="N12" s="1799"/>
      <c r="O12" s="838"/>
      <c r="P12" s="838"/>
      <c r="Q12" s="838"/>
      <c r="R12" s="838"/>
      <c r="S12" s="838"/>
      <c r="T12" s="838"/>
      <c r="U12" s="838"/>
      <c r="V12" s="790" t="s">
        <v>564</v>
      </c>
      <c r="Y12" s="880"/>
      <c r="Z12" s="880"/>
      <c r="AA12" s="880"/>
      <c r="AB12" s="880"/>
      <c r="AC12" s="880"/>
      <c r="AD12" s="930">
        <v>0</v>
      </c>
    </row>
    <row customHeight="1" ht="14.699999999999998">
      <c r="J13" s="888"/>
      <c r="K13" s="888"/>
      <c r="L13" s="1787"/>
      <c r="M13" s="875"/>
      <c r="N13" s="1756"/>
      <c r="O13" s="2764"/>
      <c r="P13" s="2764"/>
      <c r="Q13" s="2764"/>
      <c r="R13" s="2764"/>
      <c r="S13" s="2764"/>
      <c r="T13" s="2764"/>
      <c r="U13" s="2764"/>
      <c r="V13" s="2764"/>
      <c r="AD13" s="1667">
        <v>14</v>
      </c>
    </row>
    <row customHeight="1" ht="14.699999999999998">
      <c r="J14" s="888"/>
      <c r="K14" s="888"/>
      <c r="L14" s="2639" t="s">
        <v>439</v>
      </c>
      <c r="M14" s="2639"/>
      <c r="N14" s="2639"/>
      <c r="O14" s="2639"/>
      <c r="P14" s="2639"/>
      <c r="Q14" s="2639"/>
      <c r="R14" s="2639"/>
      <c r="S14" s="2639"/>
      <c r="T14" s="2639"/>
      <c r="U14" s="2639"/>
      <c r="V14" s="2639"/>
      <c r="W14" s="2639"/>
      <c r="X14" s="2639" t="s">
        <v>440</v>
      </c>
      <c r="AD14" s="1667">
        <v>14</v>
      </c>
    </row>
    <row customHeight="1" ht="14.699999999999998">
      <c r="J15" s="888"/>
      <c r="K15" s="888"/>
      <c r="L15" s="2785" t="s">
        <v>90</v>
      </c>
      <c r="M15" s="2721" t="s">
        <v>565</v>
      </c>
      <c r="N15" s="813"/>
      <c r="O15" s="2786" t="s">
        <v>2368</v>
      </c>
      <c r="P15" s="2787"/>
      <c r="Q15" s="2787"/>
      <c r="R15" s="2787"/>
      <c r="S15" s="2787"/>
      <c r="T15" s="2787"/>
      <c r="U15" s="2788"/>
      <c r="V15" s="2789" t="s">
        <v>567</v>
      </c>
      <c r="W15" s="2792" t="s">
        <v>1289</v>
      </c>
      <c r="X15" s="2639"/>
      <c r="AD15" s="1667">
        <v>14</v>
      </c>
    </row>
    <row customHeight="1" ht="35.699999999999996">
      <c r="J16" s="888"/>
      <c r="K16" s="888"/>
      <c r="L16" s="2785"/>
      <c r="M16" s="2721"/>
      <c r="N16" s="1543"/>
      <c r="O16" s="2772" t="s">
        <v>570</v>
      </c>
      <c r="P16" s="2772" t="s">
        <v>571</v>
      </c>
      <c r="Q16" s="2774" t="s">
        <v>572</v>
      </c>
      <c r="R16" s="2775"/>
      <c r="S16" s="2774" t="s">
        <v>585</v>
      </c>
      <c r="T16" s="2781"/>
      <c r="U16" s="2775"/>
      <c r="V16" s="2790"/>
      <c r="W16" s="2793"/>
      <c r="X16" s="2639"/>
      <c r="AD16" s="1667">
        <v>34</v>
      </c>
    </row>
    <row customHeight="1" ht="35.699999999999996">
      <c r="A17" s="1882" t="s">
        <v>200</v>
      </c>
      <c r="B17" s="1882" t="s">
        <v>201</v>
      </c>
      <c r="C17" s="1882" t="s">
        <v>202</v>
      </c>
      <c r="D17" s="1882" t="s">
        <v>203</v>
      </c>
      <c r="E17" s="1882"/>
      <c r="J17" s="888"/>
      <c r="K17" s="888"/>
      <c r="L17" s="2785"/>
      <c r="M17" s="2721"/>
      <c r="N17" s="814"/>
      <c r="O17" s="2773"/>
      <c r="P17" s="2773"/>
      <c r="Q17" s="1734" t="s">
        <v>581</v>
      </c>
      <c r="R17" s="1734" t="s">
        <v>582</v>
      </c>
      <c r="S17" s="1804" t="s">
        <v>583</v>
      </c>
      <c r="T17" s="2782" t="s">
        <v>584</v>
      </c>
      <c r="U17" s="2783"/>
      <c r="V17" s="2791"/>
      <c r="W17" s="2794"/>
      <c r="X17" s="2639"/>
      <c r="AD17" s="1667">
        <v>34</v>
      </c>
    </row>
    <row s="51564" customFormat="1" customHeight="1" ht="11.549999999999999">
      <c r="A18" s="1882"/>
      <c r="B18" s="1882"/>
      <c r="C18" s="1882"/>
      <c r="D18" s="1882"/>
      <c r="E18" s="1882"/>
      <c r="F18" s="1874"/>
      <c r="G18" s="1874"/>
      <c r="H18" s="1874"/>
      <c r="I18" s="1758"/>
      <c r="J18" s="1759"/>
      <c r="K18" s="1766">
        <v>1</v>
      </c>
      <c r="L18" s="1789" t="s">
        <v>101</v>
      </c>
      <c r="M18" s="1767" t="s">
        <v>105</v>
      </c>
      <c r="N18" s="1757" t="str">
        <f>OFFSET(N18,0,-1)</f>
        <v>2</v>
      </c>
      <c r="O18" s="1801">
        <f>OFFSET(O18,0,-1)+1</f>
        <v>3</v>
      </c>
      <c r="P18" s="1801"/>
      <c r="Q18" s="1801">
        <f>OFFSET(Q18,0,-1)+1</f>
        <v>1</v>
      </c>
      <c r="R18" s="1801">
        <f>OFFSET(R18,0,-1)+1</f>
        <v>2</v>
      </c>
      <c r="S18" s="1801">
        <f>OFFSET(S18,0,-1)+1</f>
        <v>3</v>
      </c>
      <c r="T18" s="2784">
        <f>OFFSET(T18,0,-1)+1</f>
        <v>4</v>
      </c>
      <c r="U18" s="2784"/>
      <c r="V18" s="1801">
        <f>OFFSET(V18,0,-2)+1</f>
        <v>5</v>
      </c>
      <c r="W18" s="1757">
        <f>OFFSET(W18,0,-1)</f>
        <v>5</v>
      </c>
      <c r="X18" s="1801">
        <f>OFFSET(X18,0,-1)+1</f>
        <v>6</v>
      </c>
      <c r="Y18" s="1023"/>
      <c r="Z18" s="1023"/>
      <c r="AA18" s="1023"/>
      <c r="AB18" s="1023"/>
      <c r="AC18" s="1023"/>
      <c r="AD18" s="1008">
        <v>11</v>
      </c>
    </row>
    <row customHeight="1" ht="21">
      <c r="A19" s="1875" t="s">
        <v>228</v>
      </c>
      <c r="B19" s="1875" t="s">
        <v>229</v>
      </c>
      <c r="C19" s="1875" t="s">
        <v>230</v>
      </c>
      <c r="D19" s="1875" t="s">
        <v>231</v>
      </c>
      <c r="E19" s="1875"/>
      <c r="F19" s="1877"/>
      <c r="G19" s="1877"/>
      <c r="H19" s="1877"/>
      <c r="I19" s="873"/>
      <c r="J19" s="872"/>
      <c r="K19" s="867"/>
      <c r="L19" s="1805">
        <f>INDEX(PT_DIFFERENTIATION_NUM_NTAR,MATCH(A19,PT_DIFFERENTIATION_NTAR_ID,0))</f>
        <v>0</v>
      </c>
      <c r="M19" s="810" t="s">
        <v>189</v>
      </c>
      <c r="N19" s="812"/>
      <c r="O19" s="3118" t="str">
        <f>INDEX(PT_DIFFERENTIATION_NTAR,MATCH(A19,PT_DIFFERENTIATION_NTAR_ID,0))</f>
        <v/>
      </c>
      <c r="P19" s="3118"/>
      <c r="Q19" s="3118"/>
      <c r="R19" s="3118"/>
      <c r="S19" s="3118"/>
      <c r="T19" s="3118"/>
      <c r="U19" s="3118"/>
      <c r="V19" s="3118"/>
      <c r="W19" s="3118"/>
      <c r="X19" s="1770" t="s">
        <v>535</v>
      </c>
      <c r="Z19" s="1012"/>
      <c r="AA19" s="1012" t="str">
        <f>IF(M19="","",M19)</f>
        <v>Наименование тарифа</v>
      </c>
      <c r="AB19" s="1012"/>
      <c r="AC19" s="1012"/>
      <c r="AD19" s="1667">
        <v>20</v>
      </c>
    </row>
    <row customHeight="1" ht="21">
      <c r="A20" s="1875" t="s">
        <v>228</v>
      </c>
      <c r="B20" s="1875" t="s">
        <v>229</v>
      </c>
      <c r="C20" s="1875" t="s">
        <v>230</v>
      </c>
      <c r="D20" s="1875" t="s">
        <v>231</v>
      </c>
      <c r="E20" s="1875"/>
      <c r="F20" s="1877"/>
      <c r="G20" s="1877"/>
      <c r="H20" s="1877"/>
      <c r="I20" s="1802"/>
      <c r="J20" s="864"/>
      <c r="K20" s="865"/>
      <c r="L20" s="1805" t="str">
        <f>INDEX(PT_DIFFERENTIATION_NUM_TER,MATCH(B19,PT_DIFFERENTIATION_TER_ID,0))</f>
        <v>.</v>
      </c>
      <c r="M20" s="820" t="s">
        <v>536</v>
      </c>
      <c r="N20" s="812"/>
      <c r="O20" s="3118" t="str">
        <f>INDEX(PT_DIFFERENTIATION_TER,MATCH(B19,PT_DIFFERENTIATION_TER_ID,0))</f>
        <v/>
      </c>
      <c r="P20" s="3118"/>
      <c r="Q20" s="3118"/>
      <c r="R20" s="3118"/>
      <c r="S20" s="3118"/>
      <c r="T20" s="3118"/>
      <c r="U20" s="3118"/>
      <c r="V20" s="3118"/>
      <c r="W20" s="3118"/>
      <c r="X20" s="1770" t="s">
        <v>537</v>
      </c>
      <c r="Z20" s="1012"/>
      <c r="AA20" s="1012" t="str">
        <f>IF(M20="","",M20)</f>
        <v>Территория действия тарифа</v>
      </c>
      <c r="AB20" s="1012"/>
      <c r="AC20" s="1012"/>
      <c r="AD20" s="1667">
        <v>20</v>
      </c>
    </row>
    <row customHeight="1" ht="24">
      <c r="A21" s="1875" t="s">
        <v>228</v>
      </c>
      <c r="B21" s="1875" t="s">
        <v>229</v>
      </c>
      <c r="C21" s="1875" t="s">
        <v>230</v>
      </c>
      <c r="D21" s="1875" t="s">
        <v>231</v>
      </c>
      <c r="E21" s="1875"/>
      <c r="F21" s="1877"/>
      <c r="G21" s="1877"/>
      <c r="H21" s="1877"/>
      <c r="I21" s="866"/>
      <c r="J21" s="864"/>
      <c r="K21" s="865"/>
      <c r="L21" s="1805" t="str">
        <f>INDEX(PT_DIFFERENTIATION_NUM_CS,MATCH(C19,PT_DIFFERENTIATION_CS_ID,0))</f>
        <v>..</v>
      </c>
      <c r="M21" s="821" t="s">
        <v>538</v>
      </c>
      <c r="N21" s="812"/>
      <c r="O21" s="3118" t="str">
        <f>INDEX(PT_DIFFERENTIATION_CS,MATCH(C19,PT_DIFFERENTIATION_CS_ID,0))</f>
        <v/>
      </c>
      <c r="P21" s="3118"/>
      <c r="Q21" s="3118"/>
      <c r="R21" s="3118"/>
      <c r="S21" s="3118"/>
      <c r="T21" s="3118"/>
      <c r="U21" s="3118"/>
      <c r="V21" s="3118"/>
      <c r="W21" s="3118"/>
      <c r="X21" s="1770" t="s">
        <v>539</v>
      </c>
      <c r="Z21" s="1012"/>
      <c r="AA21" s="1012" t="str">
        <f>IF(M21="","",M21)</f>
        <v>Наименование системы теплоснабжения </v>
      </c>
      <c r="AB21" s="1012"/>
      <c r="AC21" s="1012"/>
      <c r="AD21" s="1667">
        <v>23</v>
      </c>
    </row>
    <row customHeight="1" ht="21">
      <c r="A22" s="1875" t="s">
        <v>228</v>
      </c>
      <c r="B22" s="1875" t="s">
        <v>229</v>
      </c>
      <c r="C22" s="1875" t="s">
        <v>230</v>
      </c>
      <c r="D22" s="1875" t="s">
        <v>231</v>
      </c>
      <c r="E22" s="1875"/>
      <c r="F22" s="1877"/>
      <c r="G22" s="1877"/>
      <c r="H22" s="1877"/>
      <c r="I22" s="866"/>
      <c r="J22" s="864"/>
      <c r="K22" s="865"/>
      <c r="L22" s="1805" t="str">
        <f>INDEX(PT_DIFFERENTIATION_NUM_IST_TE,MATCH(D19,PT_DIFFERENTIATION_IST_TE_ID,0))</f>
        <v>...</v>
      </c>
      <c r="M22" s="822" t="s">
        <v>540</v>
      </c>
      <c r="N22" s="812"/>
      <c r="O22" s="3118" t="str">
        <f>INDEX(PT_DIFFERENTIATION_IST_TE,MATCH(D19,PT_DIFFERENTIATION_IST_TE_ID,0))</f>
        <v/>
      </c>
      <c r="P22" s="3118"/>
      <c r="Q22" s="3118"/>
      <c r="R22" s="3118"/>
      <c r="S22" s="3118"/>
      <c r="T22" s="3118"/>
      <c r="U22" s="3118"/>
      <c r="V22" s="3118"/>
      <c r="W22" s="3118"/>
      <c r="X22" s="1770" t="s">
        <v>541</v>
      </c>
      <c r="Z22" s="1012"/>
      <c r="AA22" s="1012" t="str">
        <f>IF(M22="","",M22)</f>
        <v>Источник тепловой энергии  </v>
      </c>
      <c r="AB22" s="1012"/>
      <c r="AC22" s="1012"/>
      <c r="AD22" s="1667">
        <v>20</v>
      </c>
    </row>
    <row customHeight="1" ht="96.75">
      <c r="A23" s="1875" t="s">
        <v>228</v>
      </c>
      <c r="B23" s="1875" t="s">
        <v>229</v>
      </c>
      <c r="C23" s="1875" t="s">
        <v>230</v>
      </c>
      <c r="D23" s="1875" t="s">
        <v>231</v>
      </c>
      <c r="E23" s="1875"/>
      <c r="F23" s="3119" t="str">
        <f>L22&amp;".1"</f>
        <v>....1</v>
      </c>
      <c r="I23" s="2769">
        <v>1</v>
      </c>
      <c r="J23" s="1803"/>
      <c r="K23" s="868"/>
      <c r="L23" s="1805" t="str">
        <f>$F$23</f>
        <v>....1</v>
      </c>
      <c r="M23" s="797" t="s">
        <v>543</v>
      </c>
      <c r="N23" s="812"/>
      <c r="O23" s="2817"/>
      <c r="P23" s="2817"/>
      <c r="Q23" s="2817"/>
      <c r="R23" s="2817"/>
      <c r="S23" s="2817"/>
      <c r="T23" s="2817"/>
      <c r="U23" s="2817"/>
      <c r="V23" s="2817"/>
      <c r="W23" s="2817"/>
      <c r="X23" s="1770" t="s">
        <v>544</v>
      </c>
      <c r="Z23" s="1012"/>
      <c r="AA23" s="1012" t="str">
        <f>IF(M23="","",M23)</f>
        <v>Схема подключения теплопотребляющей установки к коллектору источника тепловой энергии</v>
      </c>
      <c r="AB23" s="1012"/>
      <c r="AC23" s="1012"/>
      <c r="AD23" s="1667">
        <v>92</v>
      </c>
    </row>
    <row customHeight="1" ht="86.25">
      <c r="A24" s="1875" t="s">
        <v>228</v>
      </c>
      <c r="B24" s="1875" t="s">
        <v>229</v>
      </c>
      <c r="C24" s="1875" t="s">
        <v>230</v>
      </c>
      <c r="D24" s="1875" t="s">
        <v>231</v>
      </c>
      <c r="E24" s="1875"/>
      <c r="F24" s="3119"/>
      <c r="G24" s="2729" t="str">
        <f>F23&amp;".1"</f>
        <v>....1.1</v>
      </c>
      <c r="I24" s="2769"/>
      <c r="J24" s="2769">
        <v>1</v>
      </c>
      <c r="K24" s="869"/>
      <c r="L24" s="1805" t="str">
        <f>$G$24</f>
        <v>....1.1</v>
      </c>
      <c r="M24" s="798" t="s">
        <v>546</v>
      </c>
      <c r="N24" s="812"/>
      <c r="O24" s="2757"/>
      <c r="P24" s="2758"/>
      <c r="Q24" s="2758"/>
      <c r="R24" s="2758"/>
      <c r="S24" s="2758"/>
      <c r="T24" s="2758"/>
      <c r="U24" s="2758"/>
      <c r="V24" s="2758"/>
      <c r="W24" s="2759"/>
      <c r="X24" s="1770" t="s">
        <v>547</v>
      </c>
      <c r="Z24" s="1012"/>
      <c r="AA24" s="1012" t="str">
        <f>IF(M24="","",M24)</f>
        <v>Группа потребителей</v>
      </c>
      <c r="AB24" s="1012"/>
      <c r="AC24" s="1012"/>
      <c r="AD24" s="1667">
        <v>82</v>
      </c>
    </row>
    <row customHeight="1" ht="11.549999999999999">
      <c r="A25" s="1875" t="s">
        <v>228</v>
      </c>
      <c r="B25" s="1875" t="s">
        <v>229</v>
      </c>
      <c r="C25" s="1875" t="s">
        <v>230</v>
      </c>
      <c r="D25" s="1875" t="s">
        <v>231</v>
      </c>
      <c r="E25" s="1875"/>
      <c r="F25" s="3119"/>
      <c r="G25" s="2729"/>
      <c r="H25" s="2729" t="str">
        <f>G24&amp;".1"</f>
        <v>....1.1.1</v>
      </c>
      <c r="I25" s="2769"/>
      <c r="J25" s="2769"/>
      <c r="K25" s="869">
        <v>1</v>
      </c>
      <c r="L25" s="1805" t="str">
        <f>$H$25</f>
        <v>....1.1.1</v>
      </c>
      <c r="M25" s="1859"/>
      <c r="N25" s="812"/>
      <c r="O25" s="1263"/>
      <c r="P25" s="837"/>
      <c r="Q25" s="1263"/>
      <c r="R25" s="1769"/>
      <c r="S25" s="3114"/>
      <c r="T25" s="2619" t="s">
        <v>63</v>
      </c>
      <c r="U25" s="3114"/>
      <c r="V25" s="2619" t="s">
        <v>19</v>
      </c>
      <c r="W25" s="837"/>
      <c r="X25" s="2765" t="s">
        <v>549</v>
      </c>
      <c r="Y25" s="1023">
        <f>STRCHECKDATE(O26:W26)</f>
      </c>
      <c r="Z25" s="1012"/>
      <c r="AA25" s="1012" t="str">
        <f>IF(M25="","",M25)</f>
        <v/>
      </c>
      <c r="AB25" s="1012"/>
      <c r="AC25" s="1012"/>
      <c r="AD25" s="1667">
        <v>11</v>
      </c>
    </row>
    <row customHeight="1" ht="11.549999999999999">
      <c r="A26" s="1875" t="s">
        <v>228</v>
      </c>
      <c r="B26" s="1875" t="s">
        <v>229</v>
      </c>
      <c r="C26" s="1875" t="s">
        <v>230</v>
      </c>
      <c r="D26" s="1875" t="s">
        <v>231</v>
      </c>
      <c r="E26" s="1875"/>
      <c r="F26" s="3119"/>
      <c r="G26" s="2729"/>
      <c r="H26" s="2729"/>
      <c r="I26" s="2769"/>
      <c r="J26" s="2769"/>
      <c r="K26" s="869"/>
      <c r="L26" s="1806"/>
      <c r="M26" s="812"/>
      <c r="N26" s="812"/>
      <c r="O26" s="837"/>
      <c r="P26" s="837"/>
      <c r="Q26" s="837"/>
      <c r="R26" s="840" t="str">
        <f>S25&amp;"-"&amp;U25</f>
        <v>-</v>
      </c>
      <c r="S26" s="2778"/>
      <c r="T26" s="2619"/>
      <c r="U26" s="2778"/>
      <c r="V26" s="2619"/>
      <c r="W26" s="837"/>
      <c r="X26" s="2766"/>
      <c r="Z26" s="1012"/>
      <c r="AA26" s="1012" t="str">
        <f>IF(M26="","",M26)</f>
        <v/>
      </c>
      <c r="AB26" s="1012"/>
      <c r="AC26" s="1012"/>
      <c r="AD26" s="1667">
        <v>11</v>
      </c>
    </row>
    <row customHeight="1" ht="15.75">
      <c r="A27" s="1875" t="s">
        <v>228</v>
      </c>
      <c r="B27" s="1875" t="s">
        <v>229</v>
      </c>
      <c r="C27" s="1875" t="s">
        <v>230</v>
      </c>
      <c r="D27" s="1875" t="s">
        <v>231</v>
      </c>
      <c r="E27" s="1875"/>
      <c r="F27" s="3119"/>
      <c r="G27" s="2729"/>
      <c r="I27" s="2769"/>
      <c r="J27" s="2769"/>
      <c r="K27" s="868"/>
      <c r="L27" s="1790"/>
      <c r="M27" s="800" t="s">
        <v>550</v>
      </c>
      <c r="N27" s="879"/>
      <c r="O27" s="879"/>
      <c r="P27" s="879"/>
      <c r="Q27" s="879"/>
      <c r="R27" s="879"/>
      <c r="S27" s="879"/>
      <c r="T27" s="879"/>
      <c r="U27" s="879"/>
      <c r="V27" s="879"/>
      <c r="W27" s="836"/>
      <c r="X27" s="2767"/>
      <c r="Z27" s="1012"/>
      <c r="AA27" s="1012" t="str">
        <f>IF(M27="","",M27)</f>
        <v>Добавить вид теплоносителя (параметры теплоносителя)</v>
      </c>
      <c r="AB27" s="1012"/>
      <c r="AC27" s="1012"/>
      <c r="AD27" s="1667">
        <v>15</v>
      </c>
    </row>
    <row customHeight="1" ht="15.75">
      <c r="A28" s="1875" t="s">
        <v>228</v>
      </c>
      <c r="B28" s="1875" t="s">
        <v>229</v>
      </c>
      <c r="C28" s="1875" t="s">
        <v>230</v>
      </c>
      <c r="D28" s="1875" t="s">
        <v>231</v>
      </c>
      <c r="E28" s="1875"/>
      <c r="F28" s="3119"/>
      <c r="I28" s="2769"/>
      <c r="J28" s="1803"/>
      <c r="K28" s="868"/>
      <c r="L28" s="1790"/>
      <c r="M28" s="799" t="s">
        <v>551</v>
      </c>
      <c r="N28" s="879"/>
      <c r="O28" s="879"/>
      <c r="P28" s="879"/>
      <c r="Q28" s="879"/>
      <c r="R28" s="879"/>
      <c r="S28" s="879"/>
      <c r="T28" s="879"/>
      <c r="U28" s="879"/>
      <c r="V28" s="878"/>
      <c r="W28" s="879"/>
      <c r="X28" s="815"/>
      <c r="Z28" s="1012"/>
      <c r="AA28" s="1012" t="str">
        <f>IF(M28="","",M28)</f>
        <v>Добавить группу потребителей</v>
      </c>
      <c r="AB28" s="1012"/>
      <c r="AC28" s="1012"/>
      <c r="AD28" s="1667">
        <v>15</v>
      </c>
    </row>
    <row customHeight="1" ht="14.699999999999998">
      <c r="A29" s="1875" t="s">
        <v>228</v>
      </c>
      <c r="B29" s="1875" t="s">
        <v>229</v>
      </c>
      <c r="C29" s="1875" t="s">
        <v>230</v>
      </c>
      <c r="D29" s="1875" t="s">
        <v>231</v>
      </c>
      <c r="E29" s="1875"/>
      <c r="F29" s="1877"/>
      <c r="G29" s="1877"/>
      <c r="H29" s="1049"/>
      <c r="I29" s="872"/>
      <c r="J29" s="887"/>
      <c r="K29" s="867"/>
      <c r="L29" s="1790"/>
      <c r="M29" s="877" t="s">
        <v>552</v>
      </c>
      <c r="N29" s="879"/>
      <c r="O29" s="879"/>
      <c r="P29" s="879"/>
      <c r="Q29" s="879"/>
      <c r="R29" s="879"/>
      <c r="S29" s="879"/>
      <c r="T29" s="879"/>
      <c r="U29" s="879"/>
      <c r="V29" s="878"/>
      <c r="W29" s="879"/>
      <c r="X29" s="815"/>
      <c r="Z29" s="1012"/>
      <c r="AA29" s="1012" t="str">
        <f>IF(M29="","",M29)</f>
        <v>Добавить схему подключения</v>
      </c>
      <c r="AB29" s="1012"/>
      <c r="AC29" s="1012"/>
      <c r="AD29" s="1667">
        <v>14</v>
      </c>
    </row>
    <row customHeight="1" ht="14.699999999999998">
      <c r="A30" s="1875" t="s">
        <v>228</v>
      </c>
      <c r="B30" s="1875" t="s">
        <v>229</v>
      </c>
      <c r="C30" s="1875" t="s">
        <v>230</v>
      </c>
      <c r="D30" s="1875"/>
      <c r="E30" s="1875" t="s">
        <v>724</v>
      </c>
      <c r="F30" s="1877"/>
      <c r="G30" s="1877"/>
      <c r="H30" s="1049"/>
      <c r="I30" s="872"/>
      <c r="J30" s="887"/>
      <c r="K30" s="867"/>
      <c r="L30" s="1791"/>
      <c r="M30" s="1780"/>
      <c r="N30" s="1781"/>
      <c r="O30" s="1781"/>
      <c r="P30" s="1781"/>
      <c r="Q30" s="1781"/>
      <c r="R30" s="1781"/>
      <c r="S30" s="1781"/>
      <c r="T30" s="1781"/>
      <c r="U30" s="1781"/>
      <c r="V30" s="1782"/>
      <c r="W30" s="1781"/>
      <c r="X30" s="1783"/>
      <c r="Z30" s="1012"/>
      <c r="AA30" s="1012" t="str">
        <f>IF(M30="","",M30)</f>
        <v/>
      </c>
      <c r="AB30" s="1012"/>
      <c r="AC30" s="1012"/>
      <c r="AD30" s="1667">
        <v>14</v>
      </c>
    </row>
    <row customHeight="1" ht="14.699999999999998">
      <c r="A31" s="1875" t="s">
        <v>228</v>
      </c>
      <c r="B31" s="1875" t="s">
        <v>229</v>
      </c>
      <c r="C31" s="1875"/>
      <c r="D31" s="1875"/>
      <c r="E31" s="1875" t="s">
        <v>2369</v>
      </c>
      <c r="F31" s="2029"/>
      <c r="G31" s="2029"/>
      <c r="H31" s="1049"/>
      <c r="I31" s="870"/>
      <c r="J31" s="887"/>
      <c r="K31" s="871"/>
      <c r="L31" s="1791"/>
      <c r="M31" s="1784"/>
      <c r="N31" s="1781"/>
      <c r="O31" s="1781"/>
      <c r="P31" s="1781"/>
      <c r="Q31" s="1781"/>
      <c r="R31" s="1781"/>
      <c r="S31" s="1781"/>
      <c r="T31" s="1781"/>
      <c r="U31" s="1781"/>
      <c r="V31" s="1782"/>
      <c r="W31" s="1781"/>
      <c r="X31" s="1783"/>
      <c r="Z31" s="1012"/>
      <c r="AA31" s="1012" t="str">
        <f>IF(M31="","",M31)</f>
        <v/>
      </c>
      <c r="AB31" s="1012"/>
      <c r="AC31" s="1012"/>
      <c r="AD31" s="1667">
        <v>14</v>
      </c>
    </row>
    <row customHeight="1" ht="14.699999999999998">
      <c r="A32" s="1875" t="s">
        <v>2370</v>
      </c>
      <c r="B32" s="1875"/>
      <c r="C32" s="1875"/>
      <c r="D32" s="1875"/>
      <c r="E32" s="1875" t="s">
        <v>174</v>
      </c>
      <c r="F32" s="2029"/>
      <c r="G32" s="2029"/>
      <c r="H32" s="1049"/>
      <c r="I32" s="872"/>
      <c r="J32" s="887"/>
      <c r="K32" s="867"/>
      <c r="L32" s="1791"/>
      <c r="M32" s="1785"/>
      <c r="N32" s="1781"/>
      <c r="O32" s="1781"/>
      <c r="P32" s="1781"/>
      <c r="Q32" s="1781"/>
      <c r="R32" s="1781"/>
      <c r="S32" s="1781"/>
      <c r="T32" s="1781"/>
      <c r="U32" s="1781"/>
      <c r="V32" s="1782"/>
      <c r="W32" s="1781"/>
      <c r="X32" s="1783"/>
      <c r="Z32" s="1012"/>
      <c r="AA32" s="1012" t="str">
        <f>IF(M32="","",M32)</f>
        <v/>
      </c>
      <c r="AB32" s="1012"/>
      <c r="AC32" s="1012"/>
      <c r="AD32" s="1667">
        <v>14</v>
      </c>
    </row>
    <row s="50942" customFormat="1" customHeight="1" ht="11.549999999999999">
      <c r="A33" s="1875"/>
      <c r="B33" s="1875"/>
      <c r="C33" s="1875"/>
      <c r="D33" s="1875"/>
      <c r="E33" s="1875" t="s">
        <v>366</v>
      </c>
      <c r="F33" s="2030"/>
      <c r="G33" s="2031"/>
      <c r="H33" s="1049"/>
      <c r="L33" s="1792"/>
      <c r="M33" s="1786"/>
      <c r="N33" s="1781"/>
      <c r="O33" s="1781"/>
      <c r="P33" s="1781"/>
      <c r="Q33" s="1781"/>
      <c r="R33" s="1781"/>
      <c r="S33" s="1781"/>
      <c r="T33" s="1781"/>
      <c r="U33" s="1781"/>
      <c r="V33" s="1782"/>
      <c r="W33" s="1781"/>
      <c r="X33" s="1783"/>
      <c r="Y33" s="891"/>
      <c r="Z33" s="891"/>
      <c r="AA33" s="891"/>
      <c r="AB33" s="891"/>
      <c r="AC33" s="891"/>
      <c r="AD33" s="885">
        <v>11</v>
      </c>
    </row>
    <row customHeight="1" ht="11.549999999999999">
      <c r="F34" s="1672"/>
      <c r="G34" s="1672"/>
      <c r="H34" s="1049"/>
      <c r="I34" s="1667"/>
      <c r="J34" s="1667"/>
      <c r="K34" s="1667"/>
      <c r="Y34" s="1667"/>
      <c r="Z34" s="1667"/>
      <c r="AA34" s="1667"/>
      <c r="AB34" s="1667"/>
      <c r="AC34" s="1667"/>
      <c r="AD34" s="1667">
        <v>11</v>
      </c>
    </row>
    <row customHeight="1" ht="28.5">
      <c r="H35" s="1049"/>
      <c r="L35" s="1800" t="s">
        <v>941</v>
      </c>
      <c r="M35" s="2797" t="s">
        <v>2371</v>
      </c>
      <c r="N35" s="2797"/>
      <c r="O35" s="2797"/>
      <c r="P35" s="2797"/>
      <c r="Q35" s="2797"/>
      <c r="R35" s="2797"/>
      <c r="S35" s="2797"/>
      <c r="T35" s="2797"/>
      <c r="U35" s="2797"/>
      <c r="V35" s="2797"/>
      <c r="W35" s="2797"/>
      <c r="X35" s="2797"/>
      <c r="AD35" s="1667">
        <v>27</v>
      </c>
    </row>
    <row customHeight="1" ht="109.19999999999999">
      <c r="H36" s="1049"/>
      <c r="I36" s="1815"/>
      <c r="M36" s="2797" t="s">
        <v>2372</v>
      </c>
      <c r="N36" s="2797"/>
      <c r="O36" s="2797"/>
      <c r="P36" s="2797"/>
      <c r="Q36" s="2797"/>
      <c r="R36" s="2797"/>
      <c r="S36" s="2797"/>
      <c r="T36" s="2797"/>
      <c r="U36" s="2797"/>
      <c r="V36" s="2797"/>
      <c r="W36" s="2797"/>
      <c r="X36" s="2797"/>
      <c r="AD36" s="1667">
        <v>104</v>
      </c>
    </row>
    <row customHeight="1" ht="14.699999999999998">
      <c r="H37" s="1049"/>
      <c r="AD37" s="1667">
        <v>14</v>
      </c>
    </row>
    <row customHeight="1" ht="14.699999999999998">
      <c r="H38" s="1049"/>
      <c r="AD38" s="1667">
        <v>14</v>
      </c>
    </row>
    <row customHeight="1" ht="14.699999999999998">
      <c r="H39" s="1049"/>
      <c r="AD39" s="1667">
        <v>14</v>
      </c>
    </row>
    <row customHeight="1" ht="14.699999999999998">
      <c r="H40" s="1049"/>
      <c r="AD40" s="1667">
        <v>14</v>
      </c>
    </row>
    <row customHeight="1" ht="22.5" hidden="1">
      <c r="A41" s="1672" t="s">
        <v>84</v>
      </c>
      <c r="B41" s="1672">
        <v>0</v>
      </c>
      <c r="C41" s="1672">
        <v>0</v>
      </c>
      <c r="D41" s="1672">
        <v>0</v>
      </c>
      <c r="E41" s="1672">
        <v>0</v>
      </c>
      <c r="F41" s="1874">
        <v>0</v>
      </c>
      <c r="G41" s="1874">
        <v>0</v>
      </c>
      <c r="H41" s="1874">
        <v>0</v>
      </c>
      <c r="I41" s="1798">
        <v>3</v>
      </c>
      <c r="J41" s="856">
        <v>3</v>
      </c>
      <c r="K41" s="856">
        <v>3</v>
      </c>
      <c r="L41" s="1093">
        <v>12</v>
      </c>
      <c r="M41" s="1667">
        <v>31</v>
      </c>
      <c r="N41" s="1667">
        <v>1</v>
      </c>
      <c r="O41" s="1667">
        <v>24</v>
      </c>
      <c r="P41" s="1667">
        <v>24</v>
      </c>
      <c r="Q41" s="1667">
        <v>24</v>
      </c>
      <c r="R41" s="1667">
        <v>24</v>
      </c>
      <c r="S41" s="1667">
        <v>11</v>
      </c>
      <c r="T41" s="1667">
        <v>3</v>
      </c>
      <c r="U41" s="1667">
        <v>11</v>
      </c>
      <c r="V41" s="1667">
        <v>8</v>
      </c>
      <c r="W41" s="1667">
        <v>4</v>
      </c>
      <c r="X41" s="1667">
        <v>115</v>
      </c>
      <c r="Y41" s="1023">
        <v>10</v>
      </c>
      <c r="Z41" s="1023">
        <v>10</v>
      </c>
      <c r="AA41" s="1023">
        <v>10</v>
      </c>
      <c r="AB41" s="1023">
        <v>10</v>
      </c>
      <c r="AC41" s="1023">
        <v>10</v>
      </c>
      <c r="AD41" s="166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CB8DE9-5A27-659C-4F23-08ED46F1B6F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3DCFD1-63A8-E2E5-F892-BAA7ACB0DE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24FF94-ABDF-87FD-BCA8-8C72408900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ACD8FB-78AD-524E-32F7-0E39AC4460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FD9909-C498-1F53-E236-53A8857738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61B56-3CBE-BF82-7667-02CBEAB7E5B8}"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51519" width="15.00390625" hidden="1" customWidth="1"/>
    <col min="2" max="2" style="51476" width="15.00390625" hidden="1" customWidth="1"/>
    <col min="3" max="3" style="51520" width="3.00390625" customWidth="1"/>
    <col min="4" max="4" style="51521" width="6.00390625" customWidth="1"/>
    <col min="5" max="5" style="51520" width="52.00390625" customWidth="1"/>
    <col min="6" max="6" style="51520" width="48.00390625" customWidth="1"/>
    <col min="7" max="7" style="51520" width="121.00390625" customWidth="1"/>
    <col min="8" max="8" style="51520" width="8.00390625" customWidth="1"/>
    <col min="9" max="9" style="51520" width="64.00390625" customWidth="1"/>
    <col min="10" max="10" style="51520" width="9.140625" hidden="1"/>
  </cols>
  <sheetData>
    <row customHeight="1" ht="11.25" hidden="1">
      <c r="A1" s="2198" t="s">
        <v>438</v>
      </c>
      <c r="J1" s="967" t="s">
        <v>14</v>
      </c>
    </row>
    <row customHeight="1" ht="11.25" hidden="1">
      <c r="J2" s="967">
        <v>0</v>
      </c>
    </row>
    <row s="51434" customFormat="1" customHeight="1" ht="11.549999999999999">
      <c r="A3" s="2198"/>
      <c r="B3" s="1013"/>
      <c r="D3" s="990"/>
      <c r="J3" s="989">
        <v>11</v>
      </c>
    </row>
    <row customHeight="1" ht="27.299999999999997">
      <c r="D4" s="2669" t="str">
        <f>ORG_INFO_NAME_FORM</f>
        <v>Форма 1. Информация об организации, осуществляющей холодное водоснабжение (общая информация)</v>
      </c>
      <c r="E4" s="2670"/>
      <c r="F4" s="2671"/>
      <c r="I4" s="1227"/>
      <c r="J4" s="967">
        <v>26</v>
      </c>
    </row>
    <row customHeight="1" ht="18">
      <c r="D5" s="2688" t="str">
        <f>IF(org=0,"Не определено",org)</f>
        <v>КГУП "Примтеплоэнерго"</v>
      </c>
      <c r="E5" s="2688"/>
      <c r="F5" s="2688"/>
      <c r="I5" s="1227"/>
      <c r="J5" s="967">
        <v>17</v>
      </c>
    </row>
    <row s="51434" customFormat="1" customHeight="1" ht="11.549999999999999">
      <c r="A6" s="2198"/>
      <c r="B6" s="1013"/>
      <c r="D6" s="1226"/>
      <c r="E6" s="1226"/>
      <c r="F6" s="1264"/>
      <c r="G6" s="1226"/>
      <c r="J6" s="989">
        <v>11</v>
      </c>
    </row>
    <row customHeight="1" ht="11.25" hidden="1">
      <c r="A7" s="969"/>
      <c r="B7" s="1014"/>
      <c r="C7" s="969"/>
      <c r="D7" s="975"/>
      <c r="E7" s="2719"/>
      <c r="F7" s="2719"/>
      <c r="J7" s="967">
        <v>0</v>
      </c>
    </row>
    <row customHeight="1" ht="11.549999999999999">
      <c r="A8" s="969"/>
      <c r="B8" s="1014"/>
      <c r="C8" s="969"/>
      <c r="D8" s="2716" t="s">
        <v>439</v>
      </c>
      <c r="E8" s="2717"/>
      <c r="F8" s="2717"/>
      <c r="G8" s="2720" t="s">
        <v>440</v>
      </c>
      <c r="J8" s="967">
        <v>11</v>
      </c>
    </row>
    <row customHeight="1" ht="11.549999999999999">
      <c r="A9" s="969"/>
      <c r="B9" s="1014"/>
      <c r="C9" s="969"/>
      <c r="D9" s="984" t="s">
        <v>90</v>
      </c>
      <c r="E9" s="958" t="s">
        <v>441</v>
      </c>
      <c r="F9" s="958" t="s">
        <v>442</v>
      </c>
      <c r="G9" s="2721"/>
      <c r="J9" s="967">
        <v>11</v>
      </c>
    </row>
    <row customHeight="1" ht="12" hidden="1">
      <c r="A10" s="969"/>
      <c r="B10" s="1014"/>
      <c r="C10" s="969"/>
      <c r="D10" s="976"/>
      <c r="E10" s="976"/>
      <c r="F10" s="976"/>
      <c r="G10" s="976"/>
      <c r="J10" s="967">
        <v>0</v>
      </c>
    </row>
    <row customHeight="1" ht="22.5" hidden="1">
      <c r="A11" s="969"/>
      <c r="B11" s="1014"/>
      <c r="C11" s="969"/>
      <c r="D11" s="1521" t="s">
        <v>101</v>
      </c>
      <c r="E11" s="1524" t="s">
        <v>443</v>
      </c>
      <c r="F11" s="1523" t="str">
        <f>IF(region_name="","",region_name)</f>
        <v>Приморский край</v>
      </c>
      <c r="G11" s="1524" t="s">
        <v>444</v>
      </c>
      <c r="H11" s="987"/>
      <c r="J11" s="967">
        <v>0</v>
      </c>
    </row>
    <row customHeight="1" ht="22.5" hidden="1">
      <c r="A12" s="969"/>
      <c r="B12" s="1014"/>
      <c r="C12" s="969"/>
      <c r="D12" s="957" t="s">
        <v>101</v>
      </c>
      <c r="E12" s="9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955" t="s">
        <v>445</v>
      </c>
      <c r="G12" s="986"/>
      <c r="H12" s="987"/>
      <c r="J12" s="967">
        <v>0</v>
      </c>
    </row>
    <row customHeight="1" ht="23.25">
      <c r="A13" s="969"/>
      <c r="B13" s="1014"/>
      <c r="C13" s="969"/>
      <c r="D13" s="957" t="s">
        <v>101</v>
      </c>
      <c r="E13" s="954" t="str">
        <f>"Наименование юридического лица"&amp;IF(TEMPLATE_SPHERE="TKO"," (индивидуального предпринимателя)","")</f>
        <v>Наименование юридического лица</v>
      </c>
      <c r="F13" s="953"/>
      <c r="G13" s="9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987"/>
      <c r="J13" s="967">
        <v>22</v>
      </c>
    </row>
    <row customHeight="1" ht="22.5" hidden="1">
      <c r="A14" s="969"/>
      <c r="B14" s="1014"/>
      <c r="C14" s="969"/>
      <c r="D14" s="1521" t="s">
        <v>446</v>
      </c>
      <c r="E14" s="1522" t="s">
        <v>447</v>
      </c>
      <c r="F14" s="1523" t="str">
        <f>IF(inn="","",inn)</f>
        <v>2536112729</v>
      </c>
      <c r="G14" s="1524" t="s">
        <v>448</v>
      </c>
      <c r="H14" s="987"/>
      <c r="J14" s="967">
        <v>0</v>
      </c>
    </row>
    <row customHeight="1" ht="22.5" hidden="1">
      <c r="A15" s="969"/>
      <c r="B15" s="1014"/>
      <c r="C15" s="969"/>
      <c r="D15" s="1521" t="s">
        <v>449</v>
      </c>
      <c r="E15" s="1522" t="s">
        <v>450</v>
      </c>
      <c r="F15" s="1523" t="str">
        <f>IF(kpp="","",kpp)</f>
        <v>253801001</v>
      </c>
      <c r="G15" s="1524" t="s">
        <v>451</v>
      </c>
      <c r="H15" s="987"/>
      <c r="J15" s="967">
        <v>0</v>
      </c>
    </row>
    <row customHeight="1" ht="39">
      <c r="A16" s="969"/>
      <c r="B16" s="1014"/>
      <c r="C16" s="969"/>
      <c r="D16" s="957" t="s">
        <v>105</v>
      </c>
      <c r="E16" s="9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3"/>
      <c r="G16" s="9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7"/>
      <c r="J16" s="967">
        <v>37</v>
      </c>
    </row>
    <row customHeight="1" ht="23.25">
      <c r="A17" s="969"/>
      <c r="B17" s="1014"/>
      <c r="C17" s="969"/>
      <c r="D17" s="957" t="s">
        <v>92</v>
      </c>
      <c r="E17" s="954" t="str">
        <f>"Дата присвоения ОГРН"&amp;IF(TEMPLATE_SPHERE="TKO",""," (ОГРНИП)")</f>
        <v>Дата присвоения ОГРН (ОГРНИП)</v>
      </c>
      <c r="F17" s="2244" t="s">
        <v>28</v>
      </c>
      <c r="G17" s="956" t="str">
        <f>"Дата присвоения ОГРН"&amp;IF(TEMPLATE_SPHERE="TKO",""," (ОГРНИП)")&amp;" указывается в виде «ДД.ММ.ГГГГ»."</f>
        <v>Дата присвоения ОГРН (ОГРНИП) указывается в виде «ДД.ММ.ГГГГ».</v>
      </c>
      <c r="H17" s="987"/>
      <c r="J17" s="967">
        <v>22</v>
      </c>
    </row>
    <row customHeight="1" ht="71.25">
      <c r="A18" s="969"/>
      <c r="B18" s="1014"/>
      <c r="C18" s="969"/>
      <c r="D18" s="957" t="s">
        <v>93</v>
      </c>
      <c r="E18" s="9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3"/>
      <c r="G18" s="986"/>
      <c r="H18" s="987"/>
      <c r="J18" s="967">
        <v>68</v>
      </c>
    </row>
    <row customHeight="1" ht="22.5" hidden="1">
      <c r="A19" s="2714" t="s">
        <v>452</v>
      </c>
      <c r="B19" s="1014"/>
      <c r="C19" s="2725"/>
      <c r="D19" s="957" t="str">
        <f>A19</f>
        <v>5.1</v>
      </c>
      <c r="E19" s="954" t="s">
        <v>453</v>
      </c>
      <c r="F19" s="955" t="s">
        <v>445</v>
      </c>
      <c r="G19" s="956" t="s">
        <v>454</v>
      </c>
      <c r="H19" s="987"/>
      <c r="I19" s="1364"/>
      <c r="J19" s="967">
        <v>0</v>
      </c>
    </row>
    <row customHeight="1" ht="24" hidden="1">
      <c r="A20" s="2714"/>
      <c r="B20" s="1014"/>
      <c r="C20" s="2725"/>
      <c r="D20" s="952" t="str">
        <f>D19&amp;".1"</f>
        <v>5.1.1</v>
      </c>
      <c r="E20" s="951" t="s">
        <v>455</v>
      </c>
      <c r="F20" s="1393" t="s">
        <v>28</v>
      </c>
      <c r="G20" s="986"/>
      <c r="H20" s="987"/>
      <c r="I20" s="1364"/>
      <c r="J20" s="967">
        <v>0</v>
      </c>
    </row>
    <row customHeight="1" ht="22.5" hidden="1">
      <c r="A21" s="2714"/>
      <c r="B21" s="1014"/>
      <c r="C21" s="2725"/>
      <c r="D21" s="952" t="str">
        <f>D19&amp;".2"</f>
        <v>5.1.2</v>
      </c>
      <c r="E21" s="951" t="s">
        <v>456</v>
      </c>
      <c r="F21" s="2245" t="s">
        <v>28</v>
      </c>
      <c r="G21" s="956" t="s">
        <v>457</v>
      </c>
      <c r="H21" s="987"/>
      <c r="I21" s="1364"/>
      <c r="J21" s="967">
        <v>0</v>
      </c>
    </row>
    <row customHeight="1" ht="22.5" hidden="1">
      <c r="A22" s="2714"/>
      <c r="B22" s="1014"/>
      <c r="C22" s="2725"/>
      <c r="D22" s="952" t="str">
        <f>D19&amp;".3"</f>
        <v>5.1.3</v>
      </c>
      <c r="E22" s="951" t="s">
        <v>458</v>
      </c>
      <c r="F22" s="1393" t="s">
        <v>28</v>
      </c>
      <c r="G22" s="986"/>
      <c r="H22" s="987"/>
      <c r="I22" s="1364"/>
      <c r="J22" s="967">
        <v>0</v>
      </c>
    </row>
    <row customHeight="1" ht="22.5" hidden="1">
      <c r="A23" s="2714"/>
      <c r="B23" s="1014"/>
      <c r="C23" s="2725"/>
      <c r="D23" s="952" t="str">
        <f>D19&amp;".4"</f>
        <v>5.1.4</v>
      </c>
      <c r="E23" s="951" t="s">
        <v>459</v>
      </c>
      <c r="F23" s="1393" t="s">
        <v>28</v>
      </c>
      <c r="G23" s="956" t="s">
        <v>460</v>
      </c>
      <c r="H23" s="987"/>
      <c r="I23" s="1364"/>
      <c r="J23" s="967">
        <v>0</v>
      </c>
    </row>
    <row customHeight="1" ht="22.5" hidden="1">
      <c r="A24" s="2490"/>
      <c r="B24" s="1014"/>
      <c r="C24" s="1004"/>
      <c r="D24" s="979"/>
      <c r="E24" s="1680" t="s">
        <v>461</v>
      </c>
      <c r="F24" s="980"/>
      <c r="G24" s="981"/>
      <c r="H24" s="987"/>
      <c r="I24" s="1364"/>
      <c r="J24" s="967">
        <v>0</v>
      </c>
    </row>
    <row s="51476" customFormat="1" customHeight="1" ht="24.75" hidden="1">
      <c r="A25" s="969"/>
      <c r="B25" s="1014"/>
      <c r="C25" s="1014"/>
      <c r="D25" s="1518" t="s">
        <v>92</v>
      </c>
      <c r="E25" s="1520" t="s">
        <v>462</v>
      </c>
      <c r="F25" s="1525" t="s">
        <v>445</v>
      </c>
      <c r="G25" s="1520"/>
      <c r="J25" s="1013">
        <v>0</v>
      </c>
    </row>
    <row s="51476" customFormat="1" customHeight="1" ht="11.25" hidden="1">
      <c r="A26" s="969"/>
      <c r="B26" s="1014"/>
      <c r="C26" s="1014"/>
      <c r="D26" s="1518" t="s">
        <v>463</v>
      </c>
      <c r="E26" s="1519" t="s">
        <v>464</v>
      </c>
      <c r="F26" s="1525" t="s">
        <v>445</v>
      </c>
      <c r="G26" s="1520"/>
      <c r="J26" s="1013">
        <v>0</v>
      </c>
    </row>
    <row s="51476" customFormat="1" customHeight="1" ht="11.25" hidden="1">
      <c r="A27" s="969"/>
      <c r="B27" s="1014"/>
      <c r="C27" s="1014"/>
      <c r="D27" s="1518" t="s">
        <v>465</v>
      </c>
      <c r="E27" s="1526" t="s">
        <v>466</v>
      </c>
      <c r="F27" s="1527"/>
      <c r="G27" s="152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1013">
        <v>0</v>
      </c>
    </row>
    <row s="51476" customFormat="1" customHeight="1" ht="11.25" hidden="1">
      <c r="A28" s="969"/>
      <c r="B28" s="1014"/>
      <c r="C28" s="1014"/>
      <c r="D28" s="1518" t="s">
        <v>467</v>
      </c>
      <c r="E28" s="1526" t="s">
        <v>468</v>
      </c>
      <c r="F28" s="1527"/>
      <c r="G28" s="152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1013">
        <v>0</v>
      </c>
    </row>
    <row s="51476" customFormat="1" customHeight="1" ht="11.25" hidden="1">
      <c r="A29" s="969"/>
      <c r="B29" s="1014"/>
      <c r="C29" s="1014"/>
      <c r="D29" s="1518" t="s">
        <v>469</v>
      </c>
      <c r="E29" s="1526" t="s">
        <v>470</v>
      </c>
      <c r="F29" s="1527"/>
      <c r="G29" s="152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1013">
        <v>0</v>
      </c>
    </row>
    <row s="51476" customFormat="1" customHeight="1" ht="11.25" hidden="1">
      <c r="A30" s="969"/>
      <c r="B30" s="1014"/>
      <c r="C30" s="1014"/>
      <c r="D30" s="1518" t="s">
        <v>471</v>
      </c>
      <c r="E30" s="1519" t="s">
        <v>472</v>
      </c>
      <c r="F30" s="1527"/>
      <c r="G30" s="1520"/>
      <c r="J30" s="1013">
        <v>0</v>
      </c>
    </row>
    <row s="51476" customFormat="1" customHeight="1" ht="11.25" hidden="1">
      <c r="A31" s="969"/>
      <c r="B31" s="1014"/>
      <c r="C31" s="1014"/>
      <c r="D31" s="1518" t="s">
        <v>473</v>
      </c>
      <c r="E31" s="1519" t="s">
        <v>474</v>
      </c>
      <c r="F31" s="1527"/>
      <c r="G31" s="1520"/>
      <c r="J31" s="1013">
        <v>0</v>
      </c>
    </row>
    <row s="51476" customFormat="1" customHeight="1" ht="11.25" hidden="1">
      <c r="A32" s="969"/>
      <c r="B32" s="1014"/>
      <c r="C32" s="1014"/>
      <c r="D32" s="1518" t="s">
        <v>475</v>
      </c>
      <c r="E32" s="1519" t="s">
        <v>476</v>
      </c>
      <c r="F32" s="1528"/>
      <c r="G32" s="1520"/>
      <c r="J32" s="1013">
        <v>0</v>
      </c>
    </row>
    <row customHeight="1" ht="24">
      <c r="A33" s="969" t="str">
        <f>IF(TEMPLATE_SPHERE="HEAT","6","5")</f>
        <v>5</v>
      </c>
      <c r="B33" s="1014"/>
      <c r="C33" s="969"/>
      <c r="D33" s="952" t="str">
        <f>A33</f>
        <v>5</v>
      </c>
      <c r="E33" s="9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955" t="s">
        <v>445</v>
      </c>
      <c r="G33" s="986"/>
      <c r="H33" s="987"/>
      <c r="J33" s="967">
        <v>23</v>
      </c>
    </row>
    <row customHeight="1" ht="23.25">
      <c r="A34" s="969"/>
      <c r="B34" s="1014"/>
      <c r="C34" s="969"/>
      <c r="D34" s="952" t="str">
        <f>D33&amp;".1"</f>
        <v>5.1</v>
      </c>
      <c r="E34" s="954" t="str">
        <f>"фамилия"&amp;IF(TEMPLATE_SPHERE&lt;&gt;"HEAT"," руководителя","")</f>
        <v>фамилия руководителя</v>
      </c>
      <c r="F34" s="953"/>
      <c r="G34" s="9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987"/>
      <c r="J34" s="967">
        <v>22</v>
      </c>
    </row>
    <row customHeight="1" ht="23.25">
      <c r="A35" s="969"/>
      <c r="B35" s="1014"/>
      <c r="C35" s="969"/>
      <c r="D35" s="952" t="str">
        <f>D33&amp;".2"</f>
        <v>5.2</v>
      </c>
      <c r="E35" s="954" t="str">
        <f>"имя"&amp;IF(TEMPLATE_SPHERE&lt;&gt;"HEAT"," руководителя","")</f>
        <v>имя руководителя</v>
      </c>
      <c r="F35" s="953"/>
      <c r="G35" s="9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987"/>
      <c r="J35" s="967">
        <v>22</v>
      </c>
    </row>
    <row customHeight="1" ht="24">
      <c r="A36" s="969"/>
      <c r="B36" s="1014"/>
      <c r="C36" s="969"/>
      <c r="D36" s="952" t="str">
        <f>D33&amp;".3"</f>
        <v>5.3</v>
      </c>
      <c r="E36" s="954" t="str">
        <f>"отчество"&amp;IF(TEMPLATE_SPHERE&lt;&gt;"HEAT"," руководителя","")</f>
        <v>отчество руководителя</v>
      </c>
      <c r="F36" s="1210"/>
      <c r="G36" s="9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987"/>
      <c r="J36" s="967">
        <v>23</v>
      </c>
    </row>
    <row customHeight="1" ht="35.699999999999996">
      <c r="A37" s="969"/>
      <c r="B37" s="1014"/>
      <c r="C37" s="969"/>
      <c r="D37" s="952">
        <f>D33+1</f>
        <v>6</v>
      </c>
      <c r="E37" s="9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53"/>
      <c r="G37" s="956" t="s">
        <v>477</v>
      </c>
      <c r="H37" s="987"/>
      <c r="J37" s="967">
        <v>34</v>
      </c>
    </row>
    <row customHeight="1" ht="35.699999999999996">
      <c r="A38" s="969"/>
      <c r="B38" s="1014"/>
      <c r="C38" s="969"/>
      <c r="D38" s="952">
        <f>D37+1</f>
        <v>7</v>
      </c>
      <c r="E38" s="9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53"/>
      <c r="G38" s="956" t="s">
        <v>477</v>
      </c>
      <c r="H38" s="987"/>
      <c r="J38" s="967">
        <v>34</v>
      </c>
    </row>
    <row customHeight="1" ht="23.25">
      <c r="A39" s="969"/>
      <c r="B39" s="1014"/>
      <c r="C39" s="969"/>
      <c r="D39" s="952">
        <f>D38+1</f>
        <v>8</v>
      </c>
      <c r="E39" s="9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955" t="s">
        <v>445</v>
      </c>
      <c r="G39" s="27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7"/>
      <c r="J39" s="967">
        <v>22</v>
      </c>
    </row>
    <row customHeight="1" ht="22.5" hidden="1">
      <c r="A40" s="969"/>
      <c r="B40" s="1014"/>
      <c r="C40" s="969"/>
      <c r="D40" s="952" t="str">
        <f>D39&amp;".0"</f>
        <v>8.0</v>
      </c>
      <c r="E40" s="2117"/>
      <c r="F40" s="1393"/>
      <c r="G40" s="2723"/>
      <c r="H40" s="987"/>
      <c r="J40" s="967">
        <v>0</v>
      </c>
    </row>
    <row customHeight="1" ht="23.25">
      <c r="A41" s="969"/>
      <c r="B41" s="969"/>
      <c r="C41" s="2200"/>
      <c r="D41" s="952" t="str">
        <f>D39&amp;".1"</f>
        <v>8.1</v>
      </c>
      <c r="E41" s="1372"/>
      <c r="F41" s="1373"/>
      <c r="G41" s="2723"/>
      <c r="H41" s="987"/>
      <c r="J41" s="967">
        <v>22</v>
      </c>
    </row>
    <row customHeight="1" ht="15.75">
      <c r="A42" s="969"/>
      <c r="B42" s="1014"/>
      <c r="C42" s="969"/>
      <c r="D42" s="979"/>
      <c r="E42" s="927" t="s">
        <v>478</v>
      </c>
      <c r="F42" s="981"/>
      <c r="G42" s="2724"/>
      <c r="H42" s="988"/>
      <c r="J42" s="967">
        <v>15</v>
      </c>
    </row>
    <row customHeight="1" ht="27.299999999999997">
      <c r="A43" s="969"/>
      <c r="B43" s="1014"/>
      <c r="C43" s="969"/>
      <c r="D43" s="952">
        <f>D39+1</f>
        <v>9</v>
      </c>
      <c r="E43" s="9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374"/>
      <c r="G43" s="9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7"/>
      <c r="J43" s="967">
        <v>26</v>
      </c>
    </row>
    <row customHeight="1" ht="23.25">
      <c r="A44" s="969"/>
      <c r="B44" s="1014"/>
      <c r="C44" s="969"/>
      <c r="D44" s="952">
        <f>D43+1</f>
        <v>10</v>
      </c>
      <c r="E44" s="9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890"/>
      <c r="G44" s="986" t="s">
        <v>479</v>
      </c>
      <c r="H44" s="987"/>
      <c r="J44" s="967">
        <v>22</v>
      </c>
    </row>
    <row customHeight="1" ht="23.25">
      <c r="A45" s="969"/>
      <c r="B45" s="1014"/>
      <c r="C45" s="969"/>
      <c r="D45" s="952">
        <f>D44+1</f>
        <v>11</v>
      </c>
      <c r="E45" s="950" t="s">
        <v>480</v>
      </c>
      <c r="F45" s="955" t="s">
        <v>445</v>
      </c>
      <c r="G45" s="949" t="str">
        <f>IF(TEMPLATE_SPHERE="TKO","Указывается режим работы организации.","")</f>
        <v/>
      </c>
      <c r="H45" s="987"/>
      <c r="J45" s="967">
        <v>22</v>
      </c>
    </row>
    <row customHeight="1" ht="24">
      <c r="A46" s="969"/>
      <c r="B46" s="1014"/>
      <c r="C46" s="969"/>
      <c r="D46" s="952" t="str">
        <f>D45&amp;".1"</f>
        <v>11.1</v>
      </c>
      <c r="E46" s="954" t="str">
        <f>"режим работы регулируемой организации"&amp;IF(TEMPLATE_SPHERE="HEAT",", ЕТО, ТО","")</f>
        <v>режим работы регулируемой организации</v>
      </c>
      <c r="F46" s="2196"/>
      <c r="G46" s="949" t="s">
        <v>481</v>
      </c>
      <c r="H46" s="987"/>
      <c r="J46" s="967">
        <v>23</v>
      </c>
    </row>
    <row customHeight="1" ht="24">
      <c r="A47" s="2714"/>
      <c r="B47" s="1014"/>
      <c r="C47" s="1004"/>
      <c r="D47" s="952" t="str">
        <f>D45&amp;".2"</f>
        <v>11.2</v>
      </c>
      <c r="E47" s="954" t="s">
        <v>482</v>
      </c>
      <c r="F47" s="1002"/>
      <c r="G47" s="949" t="s">
        <v>483</v>
      </c>
      <c r="H47" s="987"/>
      <c r="J47" s="967">
        <v>23</v>
      </c>
    </row>
    <row customHeight="1" ht="24">
      <c r="A48" s="2714"/>
      <c r="B48" s="1014"/>
      <c r="C48" s="1004"/>
      <c r="D48" s="952" t="str">
        <f>D45&amp;".3"</f>
        <v>11.3</v>
      </c>
      <c r="E48" s="954" t="s">
        <v>484</v>
      </c>
      <c r="F48" s="1002"/>
      <c r="G48" s="949" t="s">
        <v>485</v>
      </c>
      <c r="H48" s="987"/>
      <c r="J48" s="967">
        <v>23</v>
      </c>
    </row>
    <row customHeight="1" ht="24">
      <c r="A49" s="2714"/>
      <c r="B49" s="1014"/>
      <c r="C49" s="1004"/>
      <c r="D49" s="952" t="str">
        <f>IF(TEMPLATE_SPHERE="TKO",D45&amp;".0",D45&amp;".4")</f>
        <v>11.4</v>
      </c>
      <c r="E49" s="948" t="s">
        <v>486</v>
      </c>
      <c r="F49" s="2197"/>
      <c r="G49" s="2274" t="s">
        <v>487</v>
      </c>
      <c r="H49" s="987"/>
      <c r="J49" s="967">
        <v>23</v>
      </c>
    </row>
    <row customHeight="1" ht="24">
      <c r="A50" s="969"/>
      <c r="B50" s="1014"/>
      <c r="C50" s="969"/>
      <c r="D50" s="979"/>
      <c r="E50" s="927" t="s">
        <v>488</v>
      </c>
      <c r="F50" s="980"/>
      <c r="G50" s="2274" t="s">
        <v>489</v>
      </c>
      <c r="H50" s="988"/>
      <c r="J50" s="967">
        <v>23</v>
      </c>
    </row>
    <row customHeight="1" ht="24">
      <c r="A51" s="1370"/>
      <c r="B51" s="1014"/>
      <c r="C51" s="1004"/>
      <c r="D51" s="952">
        <f>D45+1</f>
        <v>12</v>
      </c>
      <c r="E51" s="1040" t="s">
        <v>490</v>
      </c>
      <c r="F51" s="1002"/>
      <c r="G51" s="22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987"/>
      <c r="J51" s="967">
        <v>23</v>
      </c>
    </row>
    <row customHeight="1" ht="11.549999999999999">
      <c r="A52" s="969"/>
      <c r="B52" s="1014"/>
      <c r="C52" s="969"/>
      <c r="J52" s="967">
        <v>11</v>
      </c>
    </row>
    <row s="51505" customFormat="1" customHeight="1" ht="31.5">
      <c r="A53" s="2199"/>
      <c r="B53" s="1015"/>
      <c r="C53" s="2715"/>
      <c r="D53" s="27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18"/>
      <c r="F53" s="2718"/>
      <c r="G53" s="2718"/>
      <c r="H53" s="966"/>
      <c r="I53" s="966"/>
      <c r="J53" s="972">
        <v>30</v>
      </c>
    </row>
    <row s="51505" customFormat="1" customHeight="1" ht="42">
      <c r="A54" s="969"/>
      <c r="B54" s="1014"/>
      <c r="C54" s="2715"/>
      <c r="D54" s="271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18"/>
      <c r="F54" s="2718"/>
      <c r="G54" s="2718"/>
      <c r="J54" s="972">
        <v>40</v>
      </c>
    </row>
    <row customHeight="1" ht="11.549999999999999">
      <c r="D55" s="970"/>
      <c r="E55" s="971"/>
      <c r="F55" s="971"/>
      <c r="G55" s="971"/>
      <c r="J55" s="967">
        <v>11</v>
      </c>
    </row>
    <row customHeight="1" ht="28.5">
      <c r="D56" s="973"/>
      <c r="E56" s="970"/>
      <c r="F56" s="982"/>
      <c r="G56" s="982"/>
      <c r="J56" s="967">
        <v>27</v>
      </c>
    </row>
    <row customHeight="1" ht="11.549999999999999">
      <c r="D57" s="970"/>
      <c r="E57" s="970"/>
      <c r="F57" s="971"/>
      <c r="G57" s="971"/>
      <c r="J57" s="967">
        <v>11</v>
      </c>
    </row>
    <row customHeight="1" ht="40.949999999999996">
      <c r="D58" s="974"/>
      <c r="E58" s="983"/>
      <c r="F58" s="983"/>
      <c r="G58" s="983"/>
      <c r="J58" s="967">
        <v>39</v>
      </c>
    </row>
    <row customHeight="1" ht="28.5">
      <c r="D59" s="974"/>
      <c r="E59" s="983"/>
      <c r="F59" s="983"/>
      <c r="G59" s="983"/>
      <c r="J59" s="967">
        <v>27</v>
      </c>
    </row>
    <row customHeight="1" ht="11.25" hidden="1">
      <c r="A60" s="2198" t="s">
        <v>84</v>
      </c>
      <c r="B60" s="1013">
        <v>0</v>
      </c>
      <c r="C60" s="967">
        <v>3</v>
      </c>
      <c r="D60" s="968">
        <v>6</v>
      </c>
      <c r="E60" s="967">
        <v>52</v>
      </c>
      <c r="F60" s="967">
        <v>48</v>
      </c>
      <c r="G60" s="967">
        <v>121</v>
      </c>
      <c r="H60" s="967">
        <v>8</v>
      </c>
      <c r="I60" s="967">
        <v>64</v>
      </c>
      <c r="J60" s="96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307227-A1D5-8124-860F-E5E43694EBE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DA92D5-B9FF-9B98-F38B-DD208DCD74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85586F-0773-1C38-4DD2-887607712B6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ADD752-7ADD-6E99-D622-E26F53C23DBE}" mc:Ignorable="x14ac xr xr2 xr3">
  <dimension ref="A1:E8"/>
  <sheetViews>
    <sheetView topLeftCell="A1" showGridLines="0" workbookViewId="0">
      <selection activeCell="A1" sqref="A1"/>
    </sheetView>
  </sheetViews>
  <sheetFormatPr customHeight="1" defaultRowHeight="11.25"/>
  <cols>
    <col min="1" max="1" style="61564" width="10.57421875" customWidth="1"/>
    <col min="2" max="2" style="61564" width="8.7109375" customWidth="1"/>
    <col min="3" max="3" style="61564" width="18.140625" customWidth="1"/>
    <col min="4" max="4" style="61564" width="12.57421875" customWidth="1"/>
  </cols>
  <sheetData>
    <row customHeight="1" ht="11.25">
      <c r="A1" s="3127" t="s">
        <v>2373</v>
      </c>
      <c r="B1" s="3128" t="s">
        <v>2374</v>
      </c>
      <c r="C1" s="3129" t="s">
        <v>2375</v>
      </c>
      <c r="D1" s="3130"/>
      <c r="E1" s="1348" t="s">
        <v>2376</v>
      </c>
    </row>
    <row customHeight="1" ht="11.25">
      <c r="A2" s="3131"/>
      <c r="B2" s="1277" t="s">
        <v>26</v>
      </c>
      <c r="C2" s="1265"/>
      <c r="D2" s="1276"/>
      <c r="E2" s="1348"/>
    </row>
    <row customHeight="1" ht="11.25">
      <c r="A3" s="3132"/>
      <c r="B3" s="3133" t="s">
        <v>33</v>
      </c>
      <c r="C3" s="1265"/>
      <c r="D3" s="1276"/>
      <c r="E3" s="1348"/>
    </row>
    <row customHeight="1" ht="11.25">
      <c r="A4" s="3134"/>
      <c r="B4" s="1278" t="s">
        <v>1799</v>
      </c>
      <c r="C4" s="1265"/>
      <c r="D4" s="1276"/>
      <c r="E4" s="1348"/>
    </row>
    <row customHeight="1" ht="11.25">
      <c r="A5" s="3135"/>
      <c r="B5" s="1278" t="s">
        <v>1794</v>
      </c>
      <c r="C5" s="3136" t="s">
        <v>2140</v>
      </c>
      <c r="D5" s="3137" t="s">
        <v>2377</v>
      </c>
      <c r="E5" s="1348"/>
    </row>
    <row s="50942" customFormat="1" customHeight="1" ht="11.25">
      <c r="A6" s="3138"/>
      <c r="B6" s="1278" t="s">
        <v>1803</v>
      </c>
      <c r="C6" s="1265"/>
      <c r="D6" s="1276"/>
      <c r="E6" s="1348"/>
    </row>
    <row customHeight="1" ht="11.25">
      <c r="A7" s="3139"/>
      <c r="B7" s="1278" t="s">
        <v>1811</v>
      </c>
      <c r="C7" s="1265"/>
      <c r="D7" s="1276"/>
      <c r="E7" s="1348"/>
    </row>
    <row customHeight="1" ht="11.25">
      <c r="A8" s="1268"/>
      <c r="B8" s="1278" t="s">
        <v>1806</v>
      </c>
      <c r="C8" s="1265"/>
      <c r="D8" s="1276"/>
      <c r="E8" s="134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51AD81-AA9A-5508-9A42-6D6697B04D3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EA8EA6-805F-A726-E131-891B52DB708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23476A-47EB-7153-37CB-E3EA2C474695}" mc:Ignorable="x14ac xr xr2 xr3">
  <sheetPr>
    <tabColor rgb="FFFFCC99"/>
  </sheetPr>
  <dimension ref="A1:I493"/>
  <sheetViews>
    <sheetView topLeftCell="A1" showGridLines="0" workbookViewId="0">
      <selection activeCell="A1" sqref="A1"/>
    </sheetView>
  </sheetViews>
  <sheetFormatPr defaultColWidth="9.140625" customHeight="1" defaultRowHeight="11.25"/>
  <cols>
    <col min="1" max="2" style="50942" width="9.140625"/>
    <col min="3" max="3" style="50942" width="20.7109375" customWidth="1"/>
    <col min="4" max="4" style="50942" width="25.140625" customWidth="1"/>
    <col min="5" max="9" style="50942" width="9.140625"/>
  </cols>
  <sheetData>
    <row customHeight="1" ht="11.25">
      <c r="A1" s="580" t="s">
        <v>2378</v>
      </c>
      <c r="B1" s="580" t="s">
        <v>2379</v>
      </c>
      <c r="C1" s="580" t="s">
        <v>2380</v>
      </c>
      <c r="D1" s="580" t="s">
        <v>2381</v>
      </c>
      <c r="E1" s="580" t="s">
        <v>2382</v>
      </c>
      <c r="F1" s="580" t="s">
        <v>2383</v>
      </c>
      <c r="G1" s="580" t="s">
        <v>2384</v>
      </c>
      <c r="H1" s="580" t="s">
        <v>2385</v>
      </c>
      <c r="I1" s="580" t="s">
        <v>2386</v>
      </c>
    </row>
    <row customHeight="1" ht="11.25">
      <c r="A2" s="6471" t="s">
        <v>2387</v>
      </c>
      <c r="B2" s="6471" t="s">
        <v>16</v>
      </c>
      <c r="C2" s="6471" t="s">
        <v>28</v>
      </c>
      <c r="D2" s="6471" t="s">
        <v>2388</v>
      </c>
      <c r="E2" s="6471" t="s">
        <v>2389</v>
      </c>
      <c r="F2" s="6471" t="s">
        <v>2390</v>
      </c>
      <c r="G2" s="6471" t="s">
        <v>28</v>
      </c>
      <c r="H2" s="6471" t="s">
        <v>28</v>
      </c>
      <c r="I2" s="6471" t="s">
        <v>945</v>
      </c>
    </row>
    <row customHeight="1" ht="11.25">
      <c r="A3" s="6471" t="s">
        <v>2387</v>
      </c>
      <c r="B3" s="6471" t="s">
        <v>16</v>
      </c>
      <c r="C3" s="6471" t="s">
        <v>2391</v>
      </c>
      <c r="D3" s="6471" t="s">
        <v>2392</v>
      </c>
      <c r="E3" s="6471" t="s">
        <v>2393</v>
      </c>
      <c r="F3" s="6471" t="s">
        <v>2394</v>
      </c>
      <c r="G3" s="6471" t="s">
        <v>28</v>
      </c>
      <c r="H3" s="6471" t="s">
        <v>28</v>
      </c>
      <c r="I3" s="6471" t="s">
        <v>945</v>
      </c>
    </row>
    <row customHeight="1" ht="11.25">
      <c r="A4" s="6471" t="s">
        <v>2387</v>
      </c>
      <c r="B4" s="6471" t="s">
        <v>16</v>
      </c>
      <c r="C4" s="6471" t="s">
        <v>2395</v>
      </c>
      <c r="D4" s="6471" t="s">
        <v>2396</v>
      </c>
      <c r="E4" s="6471" t="s">
        <v>2397</v>
      </c>
      <c r="F4" s="6471" t="s">
        <v>2398</v>
      </c>
      <c r="G4" s="6471" t="s">
        <v>28</v>
      </c>
      <c r="H4" s="6471" t="s">
        <v>28</v>
      </c>
      <c r="I4" s="6471" t="s">
        <v>945</v>
      </c>
    </row>
    <row customHeight="1" ht="11.25">
      <c r="A5" s="6471" t="s">
        <v>2387</v>
      </c>
      <c r="B5" s="6471" t="s">
        <v>16</v>
      </c>
      <c r="C5" s="6471" t="s">
        <v>2399</v>
      </c>
      <c r="D5" s="6471" t="s">
        <v>2400</v>
      </c>
      <c r="E5" s="6471" t="s">
        <v>2401</v>
      </c>
      <c r="F5" s="6471" t="s">
        <v>2402</v>
      </c>
      <c r="G5" s="6471" t="s">
        <v>28</v>
      </c>
      <c r="H5" s="6471" t="s">
        <v>28</v>
      </c>
      <c r="I5" s="6471" t="s">
        <v>945</v>
      </c>
    </row>
    <row customHeight="1" ht="11.25">
      <c r="A6" s="6471" t="s">
        <v>2387</v>
      </c>
      <c r="B6" s="6471" t="s">
        <v>16</v>
      </c>
      <c r="C6" s="6471" t="s">
        <v>2403</v>
      </c>
      <c r="D6" s="6471" t="s">
        <v>2404</v>
      </c>
      <c r="E6" s="6471" t="s">
        <v>2405</v>
      </c>
      <c r="F6" s="6471" t="s">
        <v>2406</v>
      </c>
      <c r="G6" s="6471" t="s">
        <v>28</v>
      </c>
      <c r="H6" s="6471" t="s">
        <v>28</v>
      </c>
      <c r="I6" s="6471" t="s">
        <v>945</v>
      </c>
    </row>
    <row customHeight="1" ht="11.25">
      <c r="A7" s="6471" t="s">
        <v>2387</v>
      </c>
      <c r="B7" s="6471" t="s">
        <v>16</v>
      </c>
      <c r="C7" s="6471" t="s">
        <v>2407</v>
      </c>
      <c r="D7" s="6471" t="s">
        <v>2404</v>
      </c>
      <c r="E7" s="6471" t="s">
        <v>2405</v>
      </c>
      <c r="F7" s="6471" t="s">
        <v>2408</v>
      </c>
      <c r="G7" s="6471" t="s">
        <v>2409</v>
      </c>
      <c r="H7" s="6471" t="s">
        <v>28</v>
      </c>
      <c r="I7" s="6471" t="s">
        <v>945</v>
      </c>
    </row>
    <row customHeight="1" ht="11.25">
      <c r="A8" s="6471" t="s">
        <v>2387</v>
      </c>
      <c r="B8" s="6471" t="s">
        <v>16</v>
      </c>
      <c r="C8" s="6471" t="s">
        <v>2410</v>
      </c>
      <c r="D8" s="6471" t="s">
        <v>2411</v>
      </c>
      <c r="E8" s="6471" t="s">
        <v>2405</v>
      </c>
      <c r="F8" s="6471" t="s">
        <v>2412</v>
      </c>
      <c r="G8" s="6471" t="s">
        <v>28</v>
      </c>
      <c r="H8" s="6471" t="s">
        <v>28</v>
      </c>
      <c r="I8" s="6471" t="s">
        <v>945</v>
      </c>
    </row>
    <row customHeight="1" ht="11.25">
      <c r="A9" s="6471" t="s">
        <v>2387</v>
      </c>
      <c r="B9" s="6471" t="s">
        <v>16</v>
      </c>
      <c r="C9" s="6471" t="s">
        <v>2413</v>
      </c>
      <c r="D9" s="6471" t="s">
        <v>2414</v>
      </c>
      <c r="E9" s="6471" t="s">
        <v>2405</v>
      </c>
      <c r="F9" s="6471" t="s">
        <v>2415</v>
      </c>
      <c r="G9" s="6471" t="s">
        <v>28</v>
      </c>
      <c r="H9" s="6471" t="s">
        <v>28</v>
      </c>
      <c r="I9" s="6471" t="s">
        <v>945</v>
      </c>
    </row>
    <row customHeight="1" ht="11.25">
      <c r="A10" s="6471" t="s">
        <v>2387</v>
      </c>
      <c r="B10" s="6471" t="s">
        <v>16</v>
      </c>
      <c r="C10" s="6471" t="s">
        <v>2416</v>
      </c>
      <c r="D10" s="6471" t="s">
        <v>2417</v>
      </c>
      <c r="E10" s="6471" t="s">
        <v>2418</v>
      </c>
      <c r="F10" s="6471" t="s">
        <v>2419</v>
      </c>
      <c r="G10" s="6471" t="s">
        <v>28</v>
      </c>
      <c r="H10" s="6471" t="s">
        <v>28</v>
      </c>
      <c r="I10" s="6471" t="s">
        <v>945</v>
      </c>
    </row>
    <row customHeight="1" ht="11.25">
      <c r="A11" s="6471" t="s">
        <v>2387</v>
      </c>
      <c r="B11" s="6471" t="s">
        <v>16</v>
      </c>
      <c r="C11" s="6471" t="s">
        <v>2420</v>
      </c>
      <c r="D11" s="6471" t="s">
        <v>2421</v>
      </c>
      <c r="E11" s="6471" t="s">
        <v>2422</v>
      </c>
      <c r="F11" s="6471" t="s">
        <v>2423</v>
      </c>
      <c r="G11" s="6471" t="s">
        <v>28</v>
      </c>
      <c r="H11" s="6471" t="s">
        <v>28</v>
      </c>
      <c r="I11" s="6471" t="s">
        <v>945</v>
      </c>
    </row>
    <row customHeight="1" ht="11.25">
      <c r="A12" s="6471" t="s">
        <v>2387</v>
      </c>
      <c r="B12" s="6471" t="s">
        <v>16</v>
      </c>
      <c r="C12" s="6471" t="s">
        <v>2424</v>
      </c>
      <c r="D12" s="6471" t="s">
        <v>2425</v>
      </c>
      <c r="E12" s="6471" t="s">
        <v>2426</v>
      </c>
      <c r="F12" s="6471" t="s">
        <v>2427</v>
      </c>
      <c r="G12" s="6471" t="s">
        <v>28</v>
      </c>
      <c r="H12" s="6471" t="s">
        <v>28</v>
      </c>
      <c r="I12" s="6471" t="s">
        <v>945</v>
      </c>
    </row>
    <row customHeight="1" ht="11.25">
      <c r="A13" s="6471" t="s">
        <v>2387</v>
      </c>
      <c r="B13" s="6471" t="s">
        <v>16</v>
      </c>
      <c r="C13" s="6471" t="s">
        <v>2428</v>
      </c>
      <c r="D13" s="6471" t="s">
        <v>2429</v>
      </c>
      <c r="E13" s="6471" t="s">
        <v>2430</v>
      </c>
      <c r="F13" s="6471" t="s">
        <v>2431</v>
      </c>
      <c r="G13" s="6471" t="s">
        <v>28</v>
      </c>
      <c r="H13" s="6471" t="s">
        <v>28</v>
      </c>
      <c r="I13" s="6471" t="s">
        <v>945</v>
      </c>
    </row>
    <row customHeight="1" ht="11.25">
      <c r="A14" s="6471" t="s">
        <v>2387</v>
      </c>
      <c r="B14" s="6471" t="s">
        <v>16</v>
      </c>
      <c r="C14" s="6471" t="s">
        <v>2432</v>
      </c>
      <c r="D14" s="6471" t="s">
        <v>2433</v>
      </c>
      <c r="E14" s="6471" t="s">
        <v>2434</v>
      </c>
      <c r="F14" s="6471" t="s">
        <v>2435</v>
      </c>
      <c r="G14" s="6471" t="s">
        <v>2436</v>
      </c>
      <c r="H14" s="6471" t="s">
        <v>28</v>
      </c>
      <c r="I14" s="6471" t="s">
        <v>945</v>
      </c>
    </row>
    <row customHeight="1" ht="11.25">
      <c r="A15" s="6471" t="s">
        <v>2387</v>
      </c>
      <c r="B15" s="6471" t="s">
        <v>16</v>
      </c>
      <c r="C15" s="6471" t="s">
        <v>2437</v>
      </c>
      <c r="D15" s="6471" t="s">
        <v>2438</v>
      </c>
      <c r="E15" s="6471" t="s">
        <v>2439</v>
      </c>
      <c r="F15" s="6471" t="s">
        <v>2398</v>
      </c>
      <c r="G15" s="6471" t="s">
        <v>28</v>
      </c>
      <c r="H15" s="6471" t="s">
        <v>28</v>
      </c>
      <c r="I15" s="6471" t="s">
        <v>945</v>
      </c>
    </row>
    <row customHeight="1" ht="11.25">
      <c r="A16" s="6471" t="s">
        <v>2387</v>
      </c>
      <c r="B16" s="6471" t="s">
        <v>16</v>
      </c>
      <c r="C16" s="6471" t="s">
        <v>2440</v>
      </c>
      <c r="D16" s="6471" t="s">
        <v>2441</v>
      </c>
      <c r="E16" s="6471" t="s">
        <v>2442</v>
      </c>
      <c r="F16" s="6471" t="s">
        <v>2443</v>
      </c>
      <c r="G16" s="6471" t="s">
        <v>28</v>
      </c>
      <c r="H16" s="6471" t="s">
        <v>28</v>
      </c>
      <c r="I16" s="6471" t="s">
        <v>945</v>
      </c>
    </row>
    <row customHeight="1" ht="11.25">
      <c r="A17" s="6471" t="s">
        <v>2387</v>
      </c>
      <c r="B17" s="6471" t="s">
        <v>16</v>
      </c>
      <c r="C17" s="6471" t="s">
        <v>2444</v>
      </c>
      <c r="D17" s="6471" t="s">
        <v>2445</v>
      </c>
      <c r="E17" s="6471" t="s">
        <v>2446</v>
      </c>
      <c r="F17" s="6471" t="s">
        <v>2447</v>
      </c>
      <c r="G17" s="6471" t="s">
        <v>2448</v>
      </c>
      <c r="H17" s="6471" t="s">
        <v>28</v>
      </c>
      <c r="I17" s="6471" t="s">
        <v>945</v>
      </c>
    </row>
    <row customHeight="1" ht="11.25">
      <c r="A18" s="6471" t="s">
        <v>2387</v>
      </c>
      <c r="B18" s="6471" t="s">
        <v>16</v>
      </c>
      <c r="C18" s="6471" t="s">
        <v>2449</v>
      </c>
      <c r="D18" s="6471" t="s">
        <v>2450</v>
      </c>
      <c r="E18" s="6471" t="s">
        <v>2451</v>
      </c>
      <c r="F18" s="6471" t="s">
        <v>2452</v>
      </c>
      <c r="G18" s="6471" t="s">
        <v>2453</v>
      </c>
      <c r="H18" s="6471" t="s">
        <v>28</v>
      </c>
      <c r="I18" s="6471" t="s">
        <v>945</v>
      </c>
    </row>
    <row customHeight="1" ht="11.25">
      <c r="A19" s="6471" t="s">
        <v>2387</v>
      </c>
      <c r="B19" s="6471" t="s">
        <v>16</v>
      </c>
      <c r="C19" s="6471" t="s">
        <v>2454</v>
      </c>
      <c r="D19" s="6471" t="s">
        <v>2455</v>
      </c>
      <c r="E19" s="6471" t="s">
        <v>2456</v>
      </c>
      <c r="F19" s="6471" t="s">
        <v>2419</v>
      </c>
      <c r="G19" s="6471" t="s">
        <v>28</v>
      </c>
      <c r="H19" s="6471" t="s">
        <v>28</v>
      </c>
      <c r="I19" s="6471" t="s">
        <v>945</v>
      </c>
    </row>
    <row customHeight="1" ht="11.25">
      <c r="A20" s="6471" t="s">
        <v>2387</v>
      </c>
      <c r="B20" s="6471" t="s">
        <v>16</v>
      </c>
      <c r="C20" s="6471" t="s">
        <v>2457</v>
      </c>
      <c r="D20" s="6471" t="s">
        <v>2458</v>
      </c>
      <c r="E20" s="6471" t="s">
        <v>2459</v>
      </c>
      <c r="F20" s="6471" t="s">
        <v>2460</v>
      </c>
      <c r="G20" s="6471" t="s">
        <v>28</v>
      </c>
      <c r="H20" s="6471" t="s">
        <v>28</v>
      </c>
      <c r="I20" s="6471" t="s">
        <v>945</v>
      </c>
    </row>
    <row customHeight="1" ht="11.25">
      <c r="A21" s="6471" t="s">
        <v>2387</v>
      </c>
      <c r="B21" s="6471" t="s">
        <v>16</v>
      </c>
      <c r="C21" s="6471" t="s">
        <v>2461</v>
      </c>
      <c r="D21" s="6471" t="s">
        <v>2462</v>
      </c>
      <c r="E21" s="6471" t="s">
        <v>2463</v>
      </c>
      <c r="F21" s="6471" t="s">
        <v>2431</v>
      </c>
      <c r="G21" s="6471" t="s">
        <v>2464</v>
      </c>
      <c r="H21" s="6471" t="s">
        <v>28</v>
      </c>
      <c r="I21" s="6471" t="s">
        <v>945</v>
      </c>
    </row>
    <row customHeight="1" ht="11.25">
      <c r="A22" s="6471" t="s">
        <v>2387</v>
      </c>
      <c r="B22" s="6471" t="s">
        <v>16</v>
      </c>
      <c r="C22" s="6471" t="s">
        <v>2465</v>
      </c>
      <c r="D22" s="6471" t="s">
        <v>2466</v>
      </c>
      <c r="E22" s="6471" t="s">
        <v>2467</v>
      </c>
      <c r="F22" s="6471" t="s">
        <v>2468</v>
      </c>
      <c r="G22" s="6471" t="s">
        <v>28</v>
      </c>
      <c r="H22" s="6471" t="s">
        <v>28</v>
      </c>
      <c r="I22" s="6471" t="s">
        <v>945</v>
      </c>
    </row>
    <row customHeight="1" ht="11.25">
      <c r="A23" s="6471" t="s">
        <v>2387</v>
      </c>
      <c r="B23" s="6471" t="s">
        <v>16</v>
      </c>
      <c r="C23" s="6471" t="s">
        <v>2469</v>
      </c>
      <c r="D23" s="6471" t="s">
        <v>2470</v>
      </c>
      <c r="E23" s="6471" t="s">
        <v>2471</v>
      </c>
      <c r="F23" s="6471" t="s">
        <v>2390</v>
      </c>
      <c r="G23" s="6471" t="s">
        <v>2472</v>
      </c>
      <c r="H23" s="6471" t="s">
        <v>28</v>
      </c>
      <c r="I23" s="6471" t="s">
        <v>945</v>
      </c>
    </row>
    <row customHeight="1" ht="11.25">
      <c r="A24" s="6471" t="s">
        <v>2387</v>
      </c>
      <c r="B24" s="6471" t="s">
        <v>16</v>
      </c>
      <c r="C24" s="6471" t="s">
        <v>2473</v>
      </c>
      <c r="D24" s="6471" t="s">
        <v>2474</v>
      </c>
      <c r="E24" s="6471" t="s">
        <v>2475</v>
      </c>
      <c r="F24" s="6471" t="s">
        <v>2476</v>
      </c>
      <c r="G24" s="6471" t="s">
        <v>28</v>
      </c>
      <c r="H24" s="6471" t="s">
        <v>28</v>
      </c>
      <c r="I24" s="6471" t="s">
        <v>945</v>
      </c>
    </row>
    <row customHeight="1" ht="11.25">
      <c r="A25" s="6471" t="s">
        <v>2387</v>
      </c>
      <c r="B25" s="6471" t="s">
        <v>16</v>
      </c>
      <c r="C25" s="6471" t="s">
        <v>2477</v>
      </c>
      <c r="D25" s="6471" t="s">
        <v>2478</v>
      </c>
      <c r="E25" s="6471" t="s">
        <v>2479</v>
      </c>
      <c r="F25" s="6471" t="s">
        <v>2431</v>
      </c>
      <c r="G25" s="6471" t="s">
        <v>28</v>
      </c>
      <c r="H25" s="6471" t="s">
        <v>28</v>
      </c>
      <c r="I25" s="6471" t="s">
        <v>945</v>
      </c>
    </row>
    <row customHeight="1" ht="11.25">
      <c r="A26" s="6471" t="s">
        <v>2387</v>
      </c>
      <c r="B26" s="6471" t="s">
        <v>16</v>
      </c>
      <c r="C26" s="6471" t="s">
        <v>2480</v>
      </c>
      <c r="D26" s="6471" t="s">
        <v>2481</v>
      </c>
      <c r="E26" s="6471" t="s">
        <v>2482</v>
      </c>
      <c r="F26" s="6471" t="s">
        <v>2390</v>
      </c>
      <c r="G26" s="6471" t="s">
        <v>28</v>
      </c>
      <c r="H26" s="6471" t="s">
        <v>28</v>
      </c>
      <c r="I26" s="6471" t="s">
        <v>945</v>
      </c>
    </row>
    <row customHeight="1" ht="11.25">
      <c r="A27" s="6471" t="s">
        <v>2387</v>
      </c>
      <c r="B27" s="6471" t="s">
        <v>16</v>
      </c>
      <c r="C27" s="6471" t="s">
        <v>2483</v>
      </c>
      <c r="D27" s="6471" t="s">
        <v>2484</v>
      </c>
      <c r="E27" s="6471" t="s">
        <v>2485</v>
      </c>
      <c r="F27" s="6471" t="s">
        <v>2486</v>
      </c>
      <c r="G27" s="6471" t="s">
        <v>28</v>
      </c>
      <c r="H27" s="6471" t="s">
        <v>28</v>
      </c>
      <c r="I27" s="6471" t="s">
        <v>945</v>
      </c>
    </row>
    <row customHeight="1" ht="11.25">
      <c r="A28" s="6471" t="s">
        <v>2387</v>
      </c>
      <c r="B28" s="6471" t="s">
        <v>16</v>
      </c>
      <c r="C28" s="6471" t="s">
        <v>2487</v>
      </c>
      <c r="D28" s="6471" t="s">
        <v>2488</v>
      </c>
      <c r="E28" s="6471" t="s">
        <v>2489</v>
      </c>
      <c r="F28" s="6471" t="s">
        <v>2490</v>
      </c>
      <c r="G28" s="6471" t="s">
        <v>28</v>
      </c>
      <c r="H28" s="6471" t="s">
        <v>28</v>
      </c>
      <c r="I28" s="6471" t="s">
        <v>945</v>
      </c>
    </row>
    <row customHeight="1" ht="11.25">
      <c r="A29" s="6471" t="s">
        <v>2387</v>
      </c>
      <c r="B29" s="6471" t="s">
        <v>16</v>
      </c>
      <c r="C29" s="6471" t="s">
        <v>2491</v>
      </c>
      <c r="D29" s="6471" t="s">
        <v>2492</v>
      </c>
      <c r="E29" s="6471" t="s">
        <v>2489</v>
      </c>
      <c r="F29" s="6471" t="s">
        <v>2493</v>
      </c>
      <c r="G29" s="6471" t="s">
        <v>28</v>
      </c>
      <c r="H29" s="6471" t="s">
        <v>28</v>
      </c>
      <c r="I29" s="6471" t="s">
        <v>945</v>
      </c>
    </row>
    <row customHeight="1" ht="11.25">
      <c r="A30" s="6471" t="s">
        <v>2387</v>
      </c>
      <c r="B30" s="6471" t="s">
        <v>16</v>
      </c>
      <c r="C30" s="6471" t="s">
        <v>2494</v>
      </c>
      <c r="D30" s="6471" t="s">
        <v>2495</v>
      </c>
      <c r="E30" s="6471" t="s">
        <v>2496</v>
      </c>
      <c r="F30" s="6471" t="s">
        <v>2497</v>
      </c>
      <c r="G30" s="6471" t="s">
        <v>28</v>
      </c>
      <c r="H30" s="6471" t="s">
        <v>28</v>
      </c>
      <c r="I30" s="6471" t="s">
        <v>945</v>
      </c>
    </row>
    <row customHeight="1" ht="11.25">
      <c r="A31" s="6471" t="s">
        <v>2387</v>
      </c>
      <c r="B31" s="6471" t="s">
        <v>16</v>
      </c>
      <c r="C31" s="6471" t="s">
        <v>2498</v>
      </c>
      <c r="D31" s="6471" t="s">
        <v>2499</v>
      </c>
      <c r="E31" s="6471" t="s">
        <v>2500</v>
      </c>
      <c r="F31" s="6471" t="s">
        <v>2460</v>
      </c>
      <c r="G31" s="6471" t="s">
        <v>2501</v>
      </c>
      <c r="H31" s="6471" t="s">
        <v>28</v>
      </c>
      <c r="I31" s="6471" t="s">
        <v>945</v>
      </c>
    </row>
    <row customHeight="1" ht="11.25">
      <c r="A32" s="6471" t="s">
        <v>2387</v>
      </c>
      <c r="B32" s="6471" t="s">
        <v>16</v>
      </c>
      <c r="C32" s="6471" t="s">
        <v>2502</v>
      </c>
      <c r="D32" s="6471" t="s">
        <v>2503</v>
      </c>
      <c r="E32" s="6471" t="s">
        <v>2504</v>
      </c>
      <c r="F32" s="6471" t="s">
        <v>2443</v>
      </c>
      <c r="G32" s="6471" t="s">
        <v>28</v>
      </c>
      <c r="H32" s="6471" t="s">
        <v>28</v>
      </c>
      <c r="I32" s="6471" t="s">
        <v>945</v>
      </c>
    </row>
    <row customHeight="1" ht="11.25">
      <c r="A33" s="6471" t="s">
        <v>2387</v>
      </c>
      <c r="B33" s="6471" t="s">
        <v>16</v>
      </c>
      <c r="C33" s="6471" t="s">
        <v>2505</v>
      </c>
      <c r="D33" s="6471" t="s">
        <v>2506</v>
      </c>
      <c r="E33" s="6471" t="s">
        <v>2507</v>
      </c>
      <c r="F33" s="6471" t="s">
        <v>2431</v>
      </c>
      <c r="G33" s="6471" t="s">
        <v>28</v>
      </c>
      <c r="H33" s="6471" t="s">
        <v>28</v>
      </c>
      <c r="I33" s="6471" t="s">
        <v>945</v>
      </c>
    </row>
    <row customHeight="1" ht="11.25">
      <c r="A34" s="6471" t="s">
        <v>2387</v>
      </c>
      <c r="B34" s="6471" t="s">
        <v>16</v>
      </c>
      <c r="C34" s="6471" t="s">
        <v>2508</v>
      </c>
      <c r="D34" s="6471" t="s">
        <v>2509</v>
      </c>
      <c r="E34" s="6471" t="s">
        <v>2510</v>
      </c>
      <c r="F34" s="6471" t="s">
        <v>2511</v>
      </c>
      <c r="G34" s="6471" t="s">
        <v>28</v>
      </c>
      <c r="H34" s="6471" t="s">
        <v>2512</v>
      </c>
      <c r="I34" s="6471" t="s">
        <v>945</v>
      </c>
    </row>
    <row customHeight="1" ht="11.25">
      <c r="A35" s="6471" t="s">
        <v>2387</v>
      </c>
      <c r="B35" s="6471" t="s">
        <v>16</v>
      </c>
      <c r="C35" s="6471" t="s">
        <v>2513</v>
      </c>
      <c r="D35" s="6471" t="s">
        <v>2514</v>
      </c>
      <c r="E35" s="6471" t="s">
        <v>2515</v>
      </c>
      <c r="F35" s="6471" t="s">
        <v>713</v>
      </c>
      <c r="G35" s="6471" t="s">
        <v>2516</v>
      </c>
      <c r="H35" s="6471" t="s">
        <v>28</v>
      </c>
      <c r="I35" s="6471" t="s">
        <v>945</v>
      </c>
    </row>
    <row customHeight="1" ht="11.25">
      <c r="A36" s="6471" t="s">
        <v>2387</v>
      </c>
      <c r="B36" s="6471" t="s">
        <v>16</v>
      </c>
      <c r="C36" s="6471" t="s">
        <v>2517</v>
      </c>
      <c r="D36" s="6471" t="s">
        <v>2518</v>
      </c>
      <c r="E36" s="6471" t="s">
        <v>2519</v>
      </c>
      <c r="F36" s="6471" t="s">
        <v>2431</v>
      </c>
      <c r="G36" s="6471" t="s">
        <v>28</v>
      </c>
      <c r="H36" s="6471" t="s">
        <v>28</v>
      </c>
      <c r="I36" s="6471" t="s">
        <v>945</v>
      </c>
    </row>
    <row customHeight="1" ht="11.25">
      <c r="A37" s="6471" t="s">
        <v>2387</v>
      </c>
      <c r="B37" s="6471" t="s">
        <v>16</v>
      </c>
      <c r="C37" s="6471" t="s">
        <v>2520</v>
      </c>
      <c r="D37" s="6471" t="s">
        <v>2521</v>
      </c>
      <c r="E37" s="6471" t="s">
        <v>2522</v>
      </c>
      <c r="F37" s="6471" t="s">
        <v>2523</v>
      </c>
      <c r="G37" s="6471" t="s">
        <v>2524</v>
      </c>
      <c r="H37" s="6471" t="s">
        <v>28</v>
      </c>
      <c r="I37" s="6471" t="s">
        <v>945</v>
      </c>
    </row>
    <row customHeight="1" ht="11.25">
      <c r="A38" s="6471" t="s">
        <v>2387</v>
      </c>
      <c r="B38" s="6471" t="s">
        <v>16</v>
      </c>
      <c r="C38" s="6471" t="s">
        <v>2525</v>
      </c>
      <c r="D38" s="6471" t="s">
        <v>2526</v>
      </c>
      <c r="E38" s="6471" t="s">
        <v>2527</v>
      </c>
      <c r="F38" s="6471" t="s">
        <v>2497</v>
      </c>
      <c r="G38" s="6471" t="s">
        <v>28</v>
      </c>
      <c r="H38" s="6471" t="s">
        <v>28</v>
      </c>
      <c r="I38" s="6471" t="s">
        <v>945</v>
      </c>
    </row>
    <row customHeight="1" ht="11.25">
      <c r="A39" s="6471" t="s">
        <v>2387</v>
      </c>
      <c r="B39" s="6471" t="s">
        <v>16</v>
      </c>
      <c r="C39" s="6471" t="s">
        <v>2528</v>
      </c>
      <c r="D39" s="6471" t="s">
        <v>2529</v>
      </c>
      <c r="E39" s="6471" t="s">
        <v>2530</v>
      </c>
      <c r="F39" s="6471" t="s">
        <v>2531</v>
      </c>
      <c r="G39" s="6471" t="s">
        <v>28</v>
      </c>
      <c r="H39" s="6471" t="s">
        <v>28</v>
      </c>
      <c r="I39" s="6471" t="s">
        <v>945</v>
      </c>
    </row>
    <row customHeight="1" ht="11.25">
      <c r="A40" s="6471" t="s">
        <v>2387</v>
      </c>
      <c r="B40" s="6471" t="s">
        <v>16</v>
      </c>
      <c r="C40" s="6471" t="s">
        <v>2532</v>
      </c>
      <c r="D40" s="6471" t="s">
        <v>2533</v>
      </c>
      <c r="E40" s="6471" t="s">
        <v>2534</v>
      </c>
      <c r="F40" s="6471" t="s">
        <v>2497</v>
      </c>
      <c r="G40" s="6471" t="s">
        <v>28</v>
      </c>
      <c r="H40" s="6471" t="s">
        <v>28</v>
      </c>
      <c r="I40" s="6471" t="s">
        <v>945</v>
      </c>
    </row>
    <row customHeight="1" ht="11.25">
      <c r="A41" s="6471" t="s">
        <v>2387</v>
      </c>
      <c r="B41" s="6471" t="s">
        <v>16</v>
      </c>
      <c r="C41" s="6471" t="s">
        <v>2535</v>
      </c>
      <c r="D41" s="6471" t="s">
        <v>2536</v>
      </c>
      <c r="E41" s="6471" t="s">
        <v>2537</v>
      </c>
      <c r="F41" s="6471" t="s">
        <v>2431</v>
      </c>
      <c r="G41" s="6471" t="s">
        <v>28</v>
      </c>
      <c r="H41" s="6471" t="s">
        <v>28</v>
      </c>
      <c r="I41" s="6471" t="s">
        <v>945</v>
      </c>
    </row>
    <row customHeight="1" ht="11.25">
      <c r="A42" s="6471" t="s">
        <v>2387</v>
      </c>
      <c r="B42" s="6471" t="s">
        <v>16</v>
      </c>
      <c r="C42" s="6471" t="s">
        <v>2538</v>
      </c>
      <c r="D42" s="6471" t="s">
        <v>2539</v>
      </c>
      <c r="E42" s="6471" t="s">
        <v>2540</v>
      </c>
      <c r="F42" s="6471" t="s">
        <v>54</v>
      </c>
      <c r="G42" s="6471" t="s">
        <v>28</v>
      </c>
      <c r="H42" s="6471" t="s">
        <v>28</v>
      </c>
      <c r="I42" s="6471" t="s">
        <v>945</v>
      </c>
    </row>
    <row customHeight="1" ht="11.25">
      <c r="A43" s="6471" t="s">
        <v>2387</v>
      </c>
      <c r="B43" s="6471" t="s">
        <v>16</v>
      </c>
      <c r="C43" s="6471" t="s">
        <v>13</v>
      </c>
      <c r="D43" s="6471" t="s">
        <v>49</v>
      </c>
      <c r="E43" s="6471" t="s">
        <v>52</v>
      </c>
      <c r="F43" s="6471" t="s">
        <v>54</v>
      </c>
      <c r="G43" s="6471" t="s">
        <v>28</v>
      </c>
      <c r="H43" s="6471" t="s">
        <v>28</v>
      </c>
      <c r="I43" s="6471" t="s">
        <v>945</v>
      </c>
    </row>
    <row customHeight="1" ht="11.25">
      <c r="A44" s="6471" t="s">
        <v>2387</v>
      </c>
      <c r="B44" s="6471" t="s">
        <v>16</v>
      </c>
      <c r="C44" s="6471" t="s">
        <v>2541</v>
      </c>
      <c r="D44" s="6471" t="s">
        <v>2542</v>
      </c>
      <c r="E44" s="6471" t="s">
        <v>2543</v>
      </c>
      <c r="F44" s="6471" t="s">
        <v>2398</v>
      </c>
      <c r="G44" s="6471" t="s">
        <v>2544</v>
      </c>
      <c r="H44" s="6471" t="s">
        <v>28</v>
      </c>
      <c r="I44" s="6471" t="s">
        <v>945</v>
      </c>
    </row>
    <row customHeight="1" ht="11.25">
      <c r="A45" s="6471" t="s">
        <v>2387</v>
      </c>
      <c r="B45" s="6471" t="s">
        <v>16</v>
      </c>
      <c r="C45" s="6471" t="s">
        <v>2545</v>
      </c>
      <c r="D45" s="6471" t="s">
        <v>2546</v>
      </c>
      <c r="E45" s="6471" t="s">
        <v>2547</v>
      </c>
      <c r="F45" s="6471" t="s">
        <v>2548</v>
      </c>
      <c r="G45" s="6471" t="s">
        <v>28</v>
      </c>
      <c r="H45" s="6471" t="s">
        <v>28</v>
      </c>
      <c r="I45" s="6471" t="s">
        <v>945</v>
      </c>
    </row>
    <row customHeight="1" ht="11.25">
      <c r="A46" s="6471" t="s">
        <v>2387</v>
      </c>
      <c r="B46" s="6471" t="s">
        <v>16</v>
      </c>
      <c r="C46" s="6471" t="s">
        <v>2549</v>
      </c>
      <c r="D46" s="6471" t="s">
        <v>2550</v>
      </c>
      <c r="E46" s="6471" t="s">
        <v>2551</v>
      </c>
      <c r="F46" s="6471" t="s">
        <v>2419</v>
      </c>
      <c r="G46" s="6471" t="s">
        <v>28</v>
      </c>
      <c r="H46" s="6471" t="s">
        <v>28</v>
      </c>
      <c r="I46" s="6471" t="s">
        <v>945</v>
      </c>
    </row>
    <row customHeight="1" ht="11.25">
      <c r="A47" s="6471" t="s">
        <v>2387</v>
      </c>
      <c r="B47" s="6471" t="s">
        <v>16</v>
      </c>
      <c r="C47" s="6471" t="s">
        <v>2552</v>
      </c>
      <c r="D47" s="6471" t="s">
        <v>2553</v>
      </c>
      <c r="E47" s="6471" t="s">
        <v>2554</v>
      </c>
      <c r="F47" s="6471" t="s">
        <v>2555</v>
      </c>
      <c r="G47" s="6471" t="s">
        <v>28</v>
      </c>
      <c r="H47" s="6471" t="s">
        <v>28</v>
      </c>
      <c r="I47" s="6471" t="s">
        <v>945</v>
      </c>
    </row>
    <row customHeight="1" ht="11.25">
      <c r="A48" s="6471" t="s">
        <v>2387</v>
      </c>
      <c r="B48" s="6471" t="s">
        <v>16</v>
      </c>
      <c r="C48" s="6471" t="s">
        <v>2556</v>
      </c>
      <c r="D48" s="6471" t="s">
        <v>2557</v>
      </c>
      <c r="E48" s="6471" t="s">
        <v>2558</v>
      </c>
      <c r="F48" s="6471" t="s">
        <v>2427</v>
      </c>
      <c r="G48" s="6471" t="s">
        <v>28</v>
      </c>
      <c r="H48" s="6471" t="s">
        <v>28</v>
      </c>
      <c r="I48" s="6471" t="s">
        <v>945</v>
      </c>
    </row>
    <row customHeight="1" ht="11.25">
      <c r="A49" s="6471" t="s">
        <v>2387</v>
      </c>
      <c r="B49" s="6471" t="s">
        <v>16</v>
      </c>
      <c r="C49" s="6471" t="s">
        <v>2559</v>
      </c>
      <c r="D49" s="6471" t="s">
        <v>2560</v>
      </c>
      <c r="E49" s="6471" t="s">
        <v>2561</v>
      </c>
      <c r="F49" s="6471" t="s">
        <v>2427</v>
      </c>
      <c r="G49" s="6471" t="s">
        <v>28</v>
      </c>
      <c r="H49" s="6471" t="s">
        <v>28</v>
      </c>
      <c r="I49" s="6471" t="s">
        <v>945</v>
      </c>
    </row>
    <row customHeight="1" ht="11.25">
      <c r="A50" s="6471" t="s">
        <v>2387</v>
      </c>
      <c r="B50" s="6471" t="s">
        <v>16</v>
      </c>
      <c r="C50" s="6471" t="s">
        <v>2562</v>
      </c>
      <c r="D50" s="6471" t="s">
        <v>2563</v>
      </c>
      <c r="E50" s="6471" t="s">
        <v>2564</v>
      </c>
      <c r="F50" s="6471" t="s">
        <v>2565</v>
      </c>
      <c r="G50" s="6471" t="s">
        <v>28</v>
      </c>
      <c r="H50" s="6471" t="s">
        <v>28</v>
      </c>
      <c r="I50" s="6471" t="s">
        <v>945</v>
      </c>
    </row>
    <row customHeight="1" ht="11.25">
      <c r="A51" s="6471" t="s">
        <v>2387</v>
      </c>
      <c r="B51" s="6471" t="s">
        <v>16</v>
      </c>
      <c r="C51" s="6471" t="s">
        <v>2566</v>
      </c>
      <c r="D51" s="6471" t="s">
        <v>2567</v>
      </c>
      <c r="E51" s="6471" t="s">
        <v>2568</v>
      </c>
      <c r="F51" s="6471" t="s">
        <v>2431</v>
      </c>
      <c r="G51" s="6471" t="s">
        <v>28</v>
      </c>
      <c r="H51" s="6471" t="s">
        <v>28</v>
      </c>
      <c r="I51" s="6471" t="s">
        <v>945</v>
      </c>
    </row>
    <row customHeight="1" ht="11.25">
      <c r="A52" s="6471" t="s">
        <v>2387</v>
      </c>
      <c r="B52" s="6471" t="s">
        <v>16</v>
      </c>
      <c r="C52" s="6471" t="s">
        <v>2569</v>
      </c>
      <c r="D52" s="6471" t="s">
        <v>2570</v>
      </c>
      <c r="E52" s="6471" t="s">
        <v>2571</v>
      </c>
      <c r="F52" s="6471" t="s">
        <v>2555</v>
      </c>
      <c r="G52" s="6471" t="s">
        <v>28</v>
      </c>
      <c r="H52" s="6471" t="s">
        <v>28</v>
      </c>
      <c r="I52" s="6471" t="s">
        <v>945</v>
      </c>
    </row>
    <row customHeight="1" ht="11.25">
      <c r="A53" s="6471" t="s">
        <v>2387</v>
      </c>
      <c r="B53" s="6471" t="s">
        <v>16</v>
      </c>
      <c r="C53" s="6471" t="s">
        <v>2572</v>
      </c>
      <c r="D53" s="6471" t="s">
        <v>2573</v>
      </c>
      <c r="E53" s="6471" t="s">
        <v>2574</v>
      </c>
      <c r="F53" s="6471" t="s">
        <v>2511</v>
      </c>
      <c r="G53" s="6471" t="s">
        <v>28</v>
      </c>
      <c r="H53" s="6471" t="s">
        <v>28</v>
      </c>
      <c r="I53" s="6471" t="s">
        <v>945</v>
      </c>
    </row>
    <row customHeight="1" ht="11.25">
      <c r="A54" s="6471" t="s">
        <v>2387</v>
      </c>
      <c r="B54" s="6471" t="s">
        <v>16</v>
      </c>
      <c r="C54" s="6471" t="s">
        <v>2575</v>
      </c>
      <c r="D54" s="6471" t="s">
        <v>2576</v>
      </c>
      <c r="E54" s="6471" t="s">
        <v>2577</v>
      </c>
      <c r="F54" s="6471" t="s">
        <v>54</v>
      </c>
      <c r="G54" s="6471" t="s">
        <v>28</v>
      </c>
      <c r="H54" s="6471" t="s">
        <v>28</v>
      </c>
      <c r="I54" s="6471" t="s">
        <v>945</v>
      </c>
    </row>
    <row customHeight="1" ht="11.25">
      <c r="A55" s="6471" t="s">
        <v>2387</v>
      </c>
      <c r="B55" s="6471" t="s">
        <v>16</v>
      </c>
      <c r="C55" s="6471" t="s">
        <v>2578</v>
      </c>
      <c r="D55" s="6471" t="s">
        <v>2579</v>
      </c>
      <c r="E55" s="6471" t="s">
        <v>2580</v>
      </c>
      <c r="F55" s="6471" t="s">
        <v>2581</v>
      </c>
      <c r="G55" s="6471" t="s">
        <v>28</v>
      </c>
      <c r="H55" s="6471" t="s">
        <v>28</v>
      </c>
      <c r="I55" s="6471" t="s">
        <v>945</v>
      </c>
    </row>
    <row customHeight="1" ht="11.25">
      <c r="A56" s="6471" t="s">
        <v>2387</v>
      </c>
      <c r="B56" s="6471" t="s">
        <v>16</v>
      </c>
      <c r="C56" s="6471" t="s">
        <v>2582</v>
      </c>
      <c r="D56" s="6471" t="s">
        <v>2583</v>
      </c>
      <c r="E56" s="6471" t="s">
        <v>2584</v>
      </c>
      <c r="F56" s="6471" t="s">
        <v>2443</v>
      </c>
      <c r="G56" s="6471" t="s">
        <v>28</v>
      </c>
      <c r="H56" s="6471" t="s">
        <v>28</v>
      </c>
      <c r="I56" s="6471" t="s">
        <v>945</v>
      </c>
    </row>
    <row customHeight="1" ht="11.25">
      <c r="A57" s="6471" t="s">
        <v>2387</v>
      </c>
      <c r="B57" s="6471" t="s">
        <v>16</v>
      </c>
      <c r="C57" s="6471" t="s">
        <v>2585</v>
      </c>
      <c r="D57" s="6471" t="s">
        <v>2586</v>
      </c>
      <c r="E57" s="6471" t="s">
        <v>2587</v>
      </c>
      <c r="F57" s="6471" t="s">
        <v>2588</v>
      </c>
      <c r="G57" s="6471" t="s">
        <v>28</v>
      </c>
      <c r="H57" s="6471" t="s">
        <v>28</v>
      </c>
      <c r="I57" s="6471" t="s">
        <v>945</v>
      </c>
    </row>
    <row customHeight="1" ht="11.25">
      <c r="A58" s="6471" t="s">
        <v>2387</v>
      </c>
      <c r="B58" s="6471" t="s">
        <v>16</v>
      </c>
      <c r="C58" s="6471" t="s">
        <v>2589</v>
      </c>
      <c r="D58" s="6471" t="s">
        <v>2590</v>
      </c>
      <c r="E58" s="6471" t="s">
        <v>2405</v>
      </c>
      <c r="F58" s="6471" t="s">
        <v>2591</v>
      </c>
      <c r="G58" s="6471" t="s">
        <v>28</v>
      </c>
      <c r="H58" s="6471" t="s">
        <v>28</v>
      </c>
      <c r="I58" s="6471" t="s">
        <v>945</v>
      </c>
    </row>
    <row customHeight="1" ht="11.25">
      <c r="A59" s="6471" t="s">
        <v>2387</v>
      </c>
      <c r="B59" s="6471" t="s">
        <v>16</v>
      </c>
      <c r="C59" s="6471" t="s">
        <v>2592</v>
      </c>
      <c r="D59" s="6471" t="s">
        <v>2593</v>
      </c>
      <c r="E59" s="6471" t="s">
        <v>2594</v>
      </c>
      <c r="F59" s="6471" t="s">
        <v>2595</v>
      </c>
      <c r="G59" s="6471" t="s">
        <v>28</v>
      </c>
      <c r="H59" s="6471" t="s">
        <v>28</v>
      </c>
      <c r="I59" s="6471" t="s">
        <v>945</v>
      </c>
    </row>
    <row customHeight="1" ht="11.25">
      <c r="A60" s="6471" t="s">
        <v>2387</v>
      </c>
      <c r="B60" s="6471" t="s">
        <v>16</v>
      </c>
      <c r="C60" s="6471" t="s">
        <v>2596</v>
      </c>
      <c r="D60" s="6471" t="s">
        <v>2597</v>
      </c>
      <c r="E60" s="6471" t="s">
        <v>2598</v>
      </c>
      <c r="F60" s="6471" t="s">
        <v>2595</v>
      </c>
      <c r="G60" s="6471" t="s">
        <v>28</v>
      </c>
      <c r="H60" s="6471" t="s">
        <v>28</v>
      </c>
      <c r="I60" s="6471" t="s">
        <v>945</v>
      </c>
    </row>
    <row customHeight="1" ht="11.25">
      <c r="A61" s="6471" t="s">
        <v>2387</v>
      </c>
      <c r="B61" s="6471" t="s">
        <v>16</v>
      </c>
      <c r="C61" s="6471" t="s">
        <v>2599</v>
      </c>
      <c r="D61" s="6471" t="s">
        <v>2600</v>
      </c>
      <c r="E61" s="6471" t="s">
        <v>2601</v>
      </c>
      <c r="F61" s="6471" t="s">
        <v>2431</v>
      </c>
      <c r="G61" s="6471" t="s">
        <v>28</v>
      </c>
      <c r="H61" s="6471" t="s">
        <v>2602</v>
      </c>
      <c r="I61" s="6471" t="s">
        <v>945</v>
      </c>
    </row>
    <row customHeight="1" ht="11.25">
      <c r="A62" s="6471" t="s">
        <v>2387</v>
      </c>
      <c r="B62" s="6471" t="s">
        <v>16</v>
      </c>
      <c r="C62" s="6471" t="s">
        <v>2603</v>
      </c>
      <c r="D62" s="6471" t="s">
        <v>2604</v>
      </c>
      <c r="E62" s="6471" t="s">
        <v>2489</v>
      </c>
      <c r="F62" s="6471" t="s">
        <v>2605</v>
      </c>
      <c r="G62" s="6471" t="s">
        <v>28</v>
      </c>
      <c r="H62" s="6471" t="s">
        <v>28</v>
      </c>
      <c r="I62" s="6471" t="s">
        <v>945</v>
      </c>
    </row>
    <row customHeight="1" ht="11.25">
      <c r="A63" s="6471" t="s">
        <v>2387</v>
      </c>
      <c r="B63" s="6471" t="s">
        <v>16</v>
      </c>
      <c r="C63" s="6471" t="s">
        <v>2606</v>
      </c>
      <c r="D63" s="6471" t="s">
        <v>2607</v>
      </c>
      <c r="E63" s="6471" t="s">
        <v>2608</v>
      </c>
      <c r="F63" s="6471" t="s">
        <v>2427</v>
      </c>
      <c r="G63" s="6471" t="s">
        <v>28</v>
      </c>
      <c r="H63" s="6471" t="s">
        <v>28</v>
      </c>
      <c r="I63" s="6471" t="s">
        <v>945</v>
      </c>
    </row>
    <row customHeight="1" ht="11.25">
      <c r="A64" s="6471" t="s">
        <v>2387</v>
      </c>
      <c r="B64" s="6471" t="s">
        <v>16</v>
      </c>
      <c r="C64" s="6471" t="s">
        <v>2609</v>
      </c>
      <c r="D64" s="6471" t="s">
        <v>2610</v>
      </c>
      <c r="E64" s="6471" t="s">
        <v>2611</v>
      </c>
      <c r="F64" s="6471" t="s">
        <v>2408</v>
      </c>
      <c r="G64" s="6471" t="s">
        <v>28</v>
      </c>
      <c r="H64" s="6471" t="s">
        <v>28</v>
      </c>
      <c r="I64" s="6471" t="s">
        <v>945</v>
      </c>
    </row>
    <row customHeight="1" ht="11.25">
      <c r="A65" s="6471" t="s">
        <v>2387</v>
      </c>
      <c r="B65" s="6471" t="s">
        <v>16</v>
      </c>
      <c r="C65" s="6471" t="s">
        <v>2612</v>
      </c>
      <c r="D65" s="6471" t="s">
        <v>2613</v>
      </c>
      <c r="E65" s="6471" t="s">
        <v>2614</v>
      </c>
      <c r="F65" s="6471" t="s">
        <v>2443</v>
      </c>
      <c r="G65" s="6471" t="s">
        <v>28</v>
      </c>
      <c r="H65" s="6471" t="s">
        <v>28</v>
      </c>
      <c r="I65" s="6471" t="s">
        <v>945</v>
      </c>
    </row>
    <row customHeight="1" ht="11.25">
      <c r="A66" s="6471" t="s">
        <v>2387</v>
      </c>
      <c r="B66" s="6471" t="s">
        <v>16</v>
      </c>
      <c r="C66" s="6471" t="s">
        <v>2615</v>
      </c>
      <c r="D66" s="6471" t="s">
        <v>2616</v>
      </c>
      <c r="E66" s="6471" t="s">
        <v>2617</v>
      </c>
      <c r="F66" s="6471" t="s">
        <v>2398</v>
      </c>
      <c r="G66" s="6471" t="s">
        <v>28</v>
      </c>
      <c r="H66" s="6471" t="s">
        <v>2618</v>
      </c>
      <c r="I66" s="6471" t="s">
        <v>945</v>
      </c>
    </row>
    <row customHeight="1" ht="11.25">
      <c r="A67" s="6471" t="s">
        <v>2387</v>
      </c>
      <c r="B67" s="6471" t="s">
        <v>16</v>
      </c>
      <c r="C67" s="6471" t="s">
        <v>2619</v>
      </c>
      <c r="D67" s="6471" t="s">
        <v>2620</v>
      </c>
      <c r="E67" s="6471" t="s">
        <v>2621</v>
      </c>
      <c r="F67" s="6471" t="s">
        <v>2394</v>
      </c>
      <c r="G67" s="6471" t="s">
        <v>28</v>
      </c>
      <c r="H67" s="6471" t="s">
        <v>28</v>
      </c>
      <c r="I67" s="6471" t="s">
        <v>945</v>
      </c>
    </row>
    <row customHeight="1" ht="11.25">
      <c r="A68" s="6471" t="s">
        <v>2387</v>
      </c>
      <c r="B68" s="6471" t="s">
        <v>16</v>
      </c>
      <c r="C68" s="6471" t="s">
        <v>2622</v>
      </c>
      <c r="D68" s="6471" t="s">
        <v>2623</v>
      </c>
      <c r="E68" s="6471" t="s">
        <v>2624</v>
      </c>
      <c r="F68" s="6471" t="s">
        <v>54</v>
      </c>
      <c r="G68" s="6471" t="s">
        <v>28</v>
      </c>
      <c r="H68" s="6471" t="s">
        <v>28</v>
      </c>
      <c r="I68" s="6471" t="s">
        <v>945</v>
      </c>
    </row>
    <row customHeight="1" ht="11.25">
      <c r="A69" s="6471" t="s">
        <v>2387</v>
      </c>
      <c r="B69" s="6471" t="s">
        <v>16</v>
      </c>
      <c r="C69" s="6471" t="s">
        <v>2625</v>
      </c>
      <c r="D69" s="6471" t="s">
        <v>2626</v>
      </c>
      <c r="E69" s="6471" t="s">
        <v>2627</v>
      </c>
      <c r="F69" s="6471" t="s">
        <v>2628</v>
      </c>
      <c r="G69" s="6471" t="s">
        <v>2629</v>
      </c>
      <c r="H69" s="6471" t="s">
        <v>28</v>
      </c>
      <c r="I69" s="6471" t="s">
        <v>945</v>
      </c>
    </row>
    <row customHeight="1" ht="11.25">
      <c r="A70" s="6471" t="s">
        <v>2387</v>
      </c>
      <c r="B70" s="6471" t="s">
        <v>16</v>
      </c>
      <c r="C70" s="6471" t="s">
        <v>2630</v>
      </c>
      <c r="D70" s="6471" t="s">
        <v>2631</v>
      </c>
      <c r="E70" s="6471" t="s">
        <v>2632</v>
      </c>
      <c r="F70" s="6471" t="s">
        <v>2394</v>
      </c>
      <c r="G70" s="6471" t="s">
        <v>2633</v>
      </c>
      <c r="H70" s="6471" t="s">
        <v>28</v>
      </c>
      <c r="I70" s="6471" t="s">
        <v>945</v>
      </c>
    </row>
    <row customHeight="1" ht="11.25">
      <c r="A71" s="6471" t="s">
        <v>2387</v>
      </c>
      <c r="B71" s="6471" t="s">
        <v>16</v>
      </c>
      <c r="C71" s="6471" t="s">
        <v>2634</v>
      </c>
      <c r="D71" s="6471" t="s">
        <v>2635</v>
      </c>
      <c r="E71" s="6471" t="s">
        <v>2636</v>
      </c>
      <c r="F71" s="6471" t="s">
        <v>2394</v>
      </c>
      <c r="G71" s="6471" t="s">
        <v>2637</v>
      </c>
      <c r="H71" s="6471" t="s">
        <v>28</v>
      </c>
      <c r="I71" s="6471" t="s">
        <v>945</v>
      </c>
    </row>
    <row customHeight="1" ht="11.25">
      <c r="A72" s="6471" t="s">
        <v>2387</v>
      </c>
      <c r="B72" s="6471" t="s">
        <v>16</v>
      </c>
      <c r="C72" s="6471" t="s">
        <v>2638</v>
      </c>
      <c r="D72" s="6471" t="s">
        <v>2639</v>
      </c>
      <c r="E72" s="6471" t="s">
        <v>2640</v>
      </c>
      <c r="F72" s="6471" t="s">
        <v>2641</v>
      </c>
      <c r="G72" s="6471" t="s">
        <v>28</v>
      </c>
      <c r="H72" s="6471" t="s">
        <v>28</v>
      </c>
      <c r="I72" s="6471" t="s">
        <v>945</v>
      </c>
    </row>
    <row customHeight="1" ht="11.25">
      <c r="A73" s="6471" t="s">
        <v>2387</v>
      </c>
      <c r="B73" s="6471" t="s">
        <v>16</v>
      </c>
      <c r="C73" s="6471" t="s">
        <v>2642</v>
      </c>
      <c r="D73" s="6471" t="s">
        <v>2643</v>
      </c>
      <c r="E73" s="6471" t="s">
        <v>2644</v>
      </c>
      <c r="F73" s="6471" t="s">
        <v>2628</v>
      </c>
      <c r="G73" s="6471" t="s">
        <v>28</v>
      </c>
      <c r="H73" s="6471" t="s">
        <v>28</v>
      </c>
      <c r="I73" s="6471" t="s">
        <v>945</v>
      </c>
    </row>
    <row customHeight="1" ht="11.25">
      <c r="A74" s="6471" t="s">
        <v>2387</v>
      </c>
      <c r="B74" s="6471" t="s">
        <v>16</v>
      </c>
      <c r="C74" s="6471" t="s">
        <v>2645</v>
      </c>
      <c r="D74" s="6471" t="s">
        <v>2646</v>
      </c>
      <c r="E74" s="6471" t="s">
        <v>2647</v>
      </c>
      <c r="F74" s="6471" t="s">
        <v>2443</v>
      </c>
      <c r="G74" s="6471" t="s">
        <v>28</v>
      </c>
      <c r="H74" s="6471" t="s">
        <v>28</v>
      </c>
      <c r="I74" s="6471" t="s">
        <v>945</v>
      </c>
    </row>
    <row customHeight="1" ht="11.25">
      <c r="A75" s="6471" t="s">
        <v>2387</v>
      </c>
      <c r="B75" s="6471" t="s">
        <v>16</v>
      </c>
      <c r="C75" s="6471" t="s">
        <v>2648</v>
      </c>
      <c r="D75" s="6471" t="s">
        <v>2649</v>
      </c>
      <c r="E75" s="6471" t="s">
        <v>2650</v>
      </c>
      <c r="F75" s="6471" t="s">
        <v>2628</v>
      </c>
      <c r="G75" s="6471" t="s">
        <v>28</v>
      </c>
      <c r="H75" s="6471" t="s">
        <v>28</v>
      </c>
      <c r="I75" s="6471" t="s">
        <v>945</v>
      </c>
    </row>
    <row customHeight="1" ht="11.25">
      <c r="A76" s="6471" t="s">
        <v>2387</v>
      </c>
      <c r="B76" s="6471" t="s">
        <v>16</v>
      </c>
      <c r="C76" s="6471" t="s">
        <v>2651</v>
      </c>
      <c r="D76" s="6471" t="s">
        <v>2652</v>
      </c>
      <c r="E76" s="6471" t="s">
        <v>2653</v>
      </c>
      <c r="F76" s="6471" t="s">
        <v>2531</v>
      </c>
      <c r="G76" s="6471" t="s">
        <v>2654</v>
      </c>
      <c r="H76" s="6471" t="s">
        <v>28</v>
      </c>
      <c r="I76" s="6471" t="s">
        <v>945</v>
      </c>
    </row>
    <row customHeight="1" ht="11.25">
      <c r="A77" s="6471" t="s">
        <v>2387</v>
      </c>
      <c r="B77" s="6471" t="s">
        <v>16</v>
      </c>
      <c r="C77" s="6471" t="s">
        <v>2655</v>
      </c>
      <c r="D77" s="6471" t="s">
        <v>2656</v>
      </c>
      <c r="E77" s="6471" t="s">
        <v>2657</v>
      </c>
      <c r="F77" s="6471" t="s">
        <v>2658</v>
      </c>
      <c r="G77" s="6471" t="s">
        <v>2659</v>
      </c>
      <c r="H77" s="6471" t="s">
        <v>28</v>
      </c>
      <c r="I77" s="6471" t="s">
        <v>945</v>
      </c>
    </row>
    <row customHeight="1" ht="11.25">
      <c r="A78" s="6471" t="s">
        <v>2387</v>
      </c>
      <c r="B78" s="6471" t="s">
        <v>16</v>
      </c>
      <c r="C78" s="6471" t="s">
        <v>2660</v>
      </c>
      <c r="D78" s="6471" t="s">
        <v>2661</v>
      </c>
      <c r="E78" s="6471" t="s">
        <v>2662</v>
      </c>
      <c r="F78" s="6471" t="s">
        <v>2628</v>
      </c>
      <c r="G78" s="6471" t="s">
        <v>28</v>
      </c>
      <c r="H78" s="6471" t="s">
        <v>28</v>
      </c>
      <c r="I78" s="6471" t="s">
        <v>945</v>
      </c>
    </row>
    <row customHeight="1" ht="11.25">
      <c r="A79" s="6471" t="s">
        <v>2387</v>
      </c>
      <c r="B79" s="6471" t="s">
        <v>16</v>
      </c>
      <c r="C79" s="6471" t="s">
        <v>2663</v>
      </c>
      <c r="D79" s="6471" t="s">
        <v>2664</v>
      </c>
      <c r="E79" s="6471" t="s">
        <v>2665</v>
      </c>
      <c r="F79" s="6471" t="s">
        <v>2628</v>
      </c>
      <c r="G79" s="6471" t="s">
        <v>28</v>
      </c>
      <c r="H79" s="6471" t="s">
        <v>28</v>
      </c>
      <c r="I79" s="6471" t="s">
        <v>945</v>
      </c>
    </row>
    <row customHeight="1" ht="11.25">
      <c r="A80" s="6471" t="s">
        <v>2387</v>
      </c>
      <c r="B80" s="6471" t="s">
        <v>16</v>
      </c>
      <c r="C80" s="6471" t="s">
        <v>2666</v>
      </c>
      <c r="D80" s="6471" t="s">
        <v>2667</v>
      </c>
      <c r="E80" s="6471" t="s">
        <v>2668</v>
      </c>
      <c r="F80" s="6471" t="s">
        <v>2669</v>
      </c>
      <c r="G80" s="6471" t="s">
        <v>28</v>
      </c>
      <c r="H80" s="6471" t="s">
        <v>28</v>
      </c>
      <c r="I80" s="6471" t="s">
        <v>945</v>
      </c>
    </row>
    <row customHeight="1" ht="11.25">
      <c r="A81" s="6471" t="s">
        <v>2387</v>
      </c>
      <c r="B81" s="6471" t="s">
        <v>16</v>
      </c>
      <c r="C81" s="6471" t="s">
        <v>2670</v>
      </c>
      <c r="D81" s="6471" t="s">
        <v>2671</v>
      </c>
      <c r="E81" s="6471" t="s">
        <v>2672</v>
      </c>
      <c r="F81" s="6471" t="s">
        <v>2390</v>
      </c>
      <c r="G81" s="6471" t="s">
        <v>28</v>
      </c>
      <c r="H81" s="6471" t="s">
        <v>28</v>
      </c>
      <c r="I81" s="6471" t="s">
        <v>945</v>
      </c>
    </row>
    <row customHeight="1" ht="11.25">
      <c r="A82" s="6471" t="s">
        <v>2387</v>
      </c>
      <c r="B82" s="6471" t="s">
        <v>16</v>
      </c>
      <c r="C82" s="6471" t="s">
        <v>2673</v>
      </c>
      <c r="D82" s="6471" t="s">
        <v>2674</v>
      </c>
      <c r="E82" s="6471" t="s">
        <v>2675</v>
      </c>
      <c r="F82" s="6471" t="s">
        <v>2511</v>
      </c>
      <c r="G82" s="6471" t="s">
        <v>2676</v>
      </c>
      <c r="H82" s="6471" t="s">
        <v>2677</v>
      </c>
      <c r="I82" s="6471" t="s">
        <v>945</v>
      </c>
    </row>
    <row customHeight="1" ht="11.25">
      <c r="A83" s="6471" t="s">
        <v>2387</v>
      </c>
      <c r="B83" s="6471" t="s">
        <v>16</v>
      </c>
      <c r="C83" s="6471" t="s">
        <v>2678</v>
      </c>
      <c r="D83" s="6471" t="s">
        <v>2679</v>
      </c>
      <c r="E83" s="6471" t="s">
        <v>2680</v>
      </c>
      <c r="F83" s="6471" t="s">
        <v>2431</v>
      </c>
      <c r="G83" s="6471" t="s">
        <v>28</v>
      </c>
      <c r="H83" s="6471" t="s">
        <v>28</v>
      </c>
      <c r="I83" s="6471" t="s">
        <v>945</v>
      </c>
    </row>
    <row customHeight="1" ht="11.25">
      <c r="A84" s="6471" t="s">
        <v>2387</v>
      </c>
      <c r="B84" s="6471" t="s">
        <v>16</v>
      </c>
      <c r="C84" s="6471" t="s">
        <v>2681</v>
      </c>
      <c r="D84" s="6471" t="s">
        <v>2682</v>
      </c>
      <c r="E84" s="6471" t="s">
        <v>2683</v>
      </c>
      <c r="F84" s="6471" t="s">
        <v>2394</v>
      </c>
      <c r="G84" s="6471" t="s">
        <v>28</v>
      </c>
      <c r="H84" s="6471" t="s">
        <v>28</v>
      </c>
      <c r="I84" s="6471" t="s">
        <v>945</v>
      </c>
    </row>
    <row customHeight="1" ht="11.25">
      <c r="A85" s="6471" t="s">
        <v>2387</v>
      </c>
      <c r="B85" s="6471" t="s">
        <v>16</v>
      </c>
      <c r="C85" s="6471" t="s">
        <v>2684</v>
      </c>
      <c r="D85" s="6471" t="s">
        <v>2685</v>
      </c>
      <c r="E85" s="6471" t="s">
        <v>2686</v>
      </c>
      <c r="F85" s="6471" t="s">
        <v>2687</v>
      </c>
      <c r="G85" s="6471" t="s">
        <v>2688</v>
      </c>
      <c r="H85" s="6471" t="s">
        <v>28</v>
      </c>
      <c r="I85" s="6471" t="s">
        <v>945</v>
      </c>
    </row>
    <row customHeight="1" ht="11.25">
      <c r="A86" s="6471" t="s">
        <v>2387</v>
      </c>
      <c r="B86" s="6471" t="s">
        <v>16</v>
      </c>
      <c r="C86" s="6471" t="s">
        <v>2689</v>
      </c>
      <c r="D86" s="6471" t="s">
        <v>2690</v>
      </c>
      <c r="E86" s="6471" t="s">
        <v>2691</v>
      </c>
      <c r="F86" s="6471" t="s">
        <v>2419</v>
      </c>
      <c r="G86" s="6471" t="s">
        <v>2692</v>
      </c>
      <c r="H86" s="6471" t="s">
        <v>28</v>
      </c>
      <c r="I86" s="6471" t="s">
        <v>945</v>
      </c>
    </row>
    <row customHeight="1" ht="11.25">
      <c r="A87" s="6471" t="s">
        <v>2387</v>
      </c>
      <c r="B87" s="6471" t="s">
        <v>16</v>
      </c>
      <c r="C87" s="6471" t="s">
        <v>2693</v>
      </c>
      <c r="D87" s="6471" t="s">
        <v>2694</v>
      </c>
      <c r="E87" s="6471" t="s">
        <v>2695</v>
      </c>
      <c r="F87" s="6471" t="s">
        <v>2669</v>
      </c>
      <c r="G87" s="6471" t="s">
        <v>28</v>
      </c>
      <c r="H87" s="6471" t="s">
        <v>28</v>
      </c>
      <c r="I87" s="6471" t="s">
        <v>945</v>
      </c>
    </row>
    <row customHeight="1" ht="11.25">
      <c r="A88" s="6471" t="s">
        <v>2387</v>
      </c>
      <c r="B88" s="6471" t="s">
        <v>16</v>
      </c>
      <c r="C88" s="6471" t="s">
        <v>2696</v>
      </c>
      <c r="D88" s="6471" t="s">
        <v>2697</v>
      </c>
      <c r="E88" s="6471" t="s">
        <v>2698</v>
      </c>
      <c r="F88" s="6471" t="s">
        <v>2595</v>
      </c>
      <c r="G88" s="6471" t="s">
        <v>2699</v>
      </c>
      <c r="H88" s="6471" t="s">
        <v>28</v>
      </c>
      <c r="I88" s="6471" t="s">
        <v>945</v>
      </c>
    </row>
    <row customHeight="1" ht="11.25">
      <c r="A89" s="6471" t="s">
        <v>2387</v>
      </c>
      <c r="B89" s="6471" t="s">
        <v>16</v>
      </c>
      <c r="C89" s="6471" t="s">
        <v>2700</v>
      </c>
      <c r="D89" s="6471" t="s">
        <v>2701</v>
      </c>
      <c r="E89" s="6471" t="s">
        <v>2702</v>
      </c>
      <c r="F89" s="6471" t="s">
        <v>2452</v>
      </c>
      <c r="G89" s="6471" t="s">
        <v>28</v>
      </c>
      <c r="H89" s="6471" t="s">
        <v>28</v>
      </c>
      <c r="I89" s="6471" t="s">
        <v>945</v>
      </c>
    </row>
    <row customHeight="1" ht="11.25">
      <c r="A90" s="6471" t="s">
        <v>2387</v>
      </c>
      <c r="B90" s="6471" t="s">
        <v>16</v>
      </c>
      <c r="C90" s="6471" t="s">
        <v>2703</v>
      </c>
      <c r="D90" s="6471" t="s">
        <v>2704</v>
      </c>
      <c r="E90" s="6471" t="s">
        <v>2705</v>
      </c>
      <c r="F90" s="6471" t="s">
        <v>2431</v>
      </c>
      <c r="G90" s="6471" t="s">
        <v>28</v>
      </c>
      <c r="H90" s="6471" t="s">
        <v>28</v>
      </c>
      <c r="I90" s="6471" t="s">
        <v>945</v>
      </c>
    </row>
    <row customHeight="1" ht="11.25">
      <c r="A91" s="6471" t="s">
        <v>2387</v>
      </c>
      <c r="B91" s="6471" t="s">
        <v>16</v>
      </c>
      <c r="C91" s="6471" t="s">
        <v>2706</v>
      </c>
      <c r="D91" s="6471" t="s">
        <v>2707</v>
      </c>
      <c r="E91" s="6471" t="s">
        <v>2708</v>
      </c>
      <c r="F91" s="6471" t="s">
        <v>2511</v>
      </c>
      <c r="G91" s="6471" t="s">
        <v>28</v>
      </c>
      <c r="H91" s="6471" t="s">
        <v>28</v>
      </c>
      <c r="I91" s="6471" t="s">
        <v>945</v>
      </c>
    </row>
    <row customHeight="1" ht="11.25">
      <c r="A92" s="6471" t="s">
        <v>2387</v>
      </c>
      <c r="B92" s="6471" t="s">
        <v>16</v>
      </c>
      <c r="C92" s="6471" t="s">
        <v>2709</v>
      </c>
      <c r="D92" s="6471" t="s">
        <v>2710</v>
      </c>
      <c r="E92" s="6471" t="s">
        <v>2711</v>
      </c>
      <c r="F92" s="6471" t="s">
        <v>2394</v>
      </c>
      <c r="G92" s="6471" t="s">
        <v>28</v>
      </c>
      <c r="H92" s="6471" t="s">
        <v>2712</v>
      </c>
      <c r="I92" s="6471" t="s">
        <v>945</v>
      </c>
    </row>
    <row customHeight="1" ht="11.25">
      <c r="A93" s="6471" t="s">
        <v>2387</v>
      </c>
      <c r="B93" s="6471" t="s">
        <v>16</v>
      </c>
      <c r="C93" s="6471" t="s">
        <v>2713</v>
      </c>
      <c r="D93" s="6471" t="s">
        <v>2714</v>
      </c>
      <c r="E93" s="6471" t="s">
        <v>2715</v>
      </c>
      <c r="F93" s="6471" t="s">
        <v>2394</v>
      </c>
      <c r="G93" s="6471" t="s">
        <v>28</v>
      </c>
      <c r="H93" s="6471" t="s">
        <v>28</v>
      </c>
      <c r="I93" s="6471" t="s">
        <v>945</v>
      </c>
    </row>
    <row customHeight="1" ht="11.25">
      <c r="A94" s="6471" t="s">
        <v>2387</v>
      </c>
      <c r="B94" s="6471" t="s">
        <v>16</v>
      </c>
      <c r="C94" s="6471" t="s">
        <v>2716</v>
      </c>
      <c r="D94" s="6471" t="s">
        <v>2717</v>
      </c>
      <c r="E94" s="6471" t="s">
        <v>2718</v>
      </c>
      <c r="F94" s="6471" t="s">
        <v>2394</v>
      </c>
      <c r="G94" s="6471" t="s">
        <v>28</v>
      </c>
      <c r="H94" s="6471" t="s">
        <v>28</v>
      </c>
      <c r="I94" s="6471" t="s">
        <v>945</v>
      </c>
    </row>
    <row customHeight="1" ht="11.25">
      <c r="A95" s="6471" t="s">
        <v>2387</v>
      </c>
      <c r="B95" s="6471" t="s">
        <v>16</v>
      </c>
      <c r="C95" s="6471" t="s">
        <v>2719</v>
      </c>
      <c r="D95" s="6471" t="s">
        <v>2720</v>
      </c>
      <c r="E95" s="6471" t="s">
        <v>2721</v>
      </c>
      <c r="F95" s="6471" t="s">
        <v>2511</v>
      </c>
      <c r="G95" s="6471" t="s">
        <v>2453</v>
      </c>
      <c r="H95" s="6471" t="s">
        <v>28</v>
      </c>
      <c r="I95" s="6471" t="s">
        <v>945</v>
      </c>
    </row>
    <row customHeight="1" ht="11.25">
      <c r="A96" s="6471" t="s">
        <v>2387</v>
      </c>
      <c r="B96" s="6471" t="s">
        <v>16</v>
      </c>
      <c r="C96" s="6471" t="s">
        <v>2722</v>
      </c>
      <c r="D96" s="6471" t="s">
        <v>2723</v>
      </c>
      <c r="E96" s="6471" t="s">
        <v>2724</v>
      </c>
      <c r="F96" s="6471" t="s">
        <v>2725</v>
      </c>
      <c r="G96" s="6471" t="s">
        <v>28</v>
      </c>
      <c r="H96" s="6471" t="s">
        <v>28</v>
      </c>
      <c r="I96" s="6471" t="s">
        <v>945</v>
      </c>
    </row>
    <row customHeight="1" ht="11.25">
      <c r="A97" s="6471" t="s">
        <v>2387</v>
      </c>
      <c r="B97" s="6471" t="s">
        <v>16</v>
      </c>
      <c r="C97" s="6471" t="s">
        <v>2726</v>
      </c>
      <c r="D97" s="6471" t="s">
        <v>2727</v>
      </c>
      <c r="E97" s="6471" t="s">
        <v>2728</v>
      </c>
      <c r="F97" s="6471" t="s">
        <v>2460</v>
      </c>
      <c r="G97" s="6471" t="s">
        <v>28</v>
      </c>
      <c r="H97" s="6471" t="s">
        <v>28</v>
      </c>
      <c r="I97" s="6471" t="s">
        <v>945</v>
      </c>
    </row>
    <row customHeight="1" ht="11.25">
      <c r="A98" s="6471" t="s">
        <v>2387</v>
      </c>
      <c r="B98" s="6471" t="s">
        <v>16</v>
      </c>
      <c r="C98" s="6471" t="s">
        <v>2729</v>
      </c>
      <c r="D98" s="6471" t="s">
        <v>2730</v>
      </c>
      <c r="E98" s="6471" t="s">
        <v>2731</v>
      </c>
      <c r="F98" s="6471" t="s">
        <v>2732</v>
      </c>
      <c r="G98" s="6471" t="s">
        <v>28</v>
      </c>
      <c r="H98" s="6471" t="s">
        <v>28</v>
      </c>
      <c r="I98" s="6471" t="s">
        <v>945</v>
      </c>
    </row>
    <row customHeight="1" ht="11.25">
      <c r="A99" s="6471" t="s">
        <v>2387</v>
      </c>
      <c r="B99" s="6471" t="s">
        <v>16</v>
      </c>
      <c r="C99" s="6471" t="s">
        <v>2733</v>
      </c>
      <c r="D99" s="6471" t="s">
        <v>2734</v>
      </c>
      <c r="E99" s="6471" t="s">
        <v>2735</v>
      </c>
      <c r="F99" s="6471" t="s">
        <v>2443</v>
      </c>
      <c r="G99" s="6471" t="s">
        <v>28</v>
      </c>
      <c r="H99" s="6471" t="s">
        <v>28</v>
      </c>
      <c r="I99" s="6471" t="s">
        <v>945</v>
      </c>
    </row>
    <row customHeight="1" ht="11.25">
      <c r="A100" s="6471" t="s">
        <v>2387</v>
      </c>
      <c r="B100" s="6471" t="s">
        <v>16</v>
      </c>
      <c r="C100" s="6471" t="s">
        <v>2736</v>
      </c>
      <c r="D100" s="6471" t="s">
        <v>2737</v>
      </c>
      <c r="E100" s="6471" t="s">
        <v>2738</v>
      </c>
      <c r="F100" s="6471" t="s">
        <v>2394</v>
      </c>
      <c r="G100" s="6471" t="s">
        <v>28</v>
      </c>
      <c r="H100" s="6471" t="s">
        <v>28</v>
      </c>
      <c r="I100" s="6471" t="s">
        <v>945</v>
      </c>
    </row>
    <row customHeight="1" ht="11.25">
      <c r="A101" s="6471" t="s">
        <v>2387</v>
      </c>
      <c r="B101" s="6471" t="s">
        <v>16</v>
      </c>
      <c r="C101" s="6471" t="s">
        <v>2739</v>
      </c>
      <c r="D101" s="6471" t="s">
        <v>2740</v>
      </c>
      <c r="E101" s="6471" t="s">
        <v>2741</v>
      </c>
      <c r="F101" s="6471" t="s">
        <v>2555</v>
      </c>
      <c r="G101" s="6471" t="s">
        <v>28</v>
      </c>
      <c r="H101" s="6471" t="s">
        <v>2742</v>
      </c>
      <c r="I101" s="6471" t="s">
        <v>945</v>
      </c>
    </row>
    <row customHeight="1" ht="11.25">
      <c r="A102" s="6471" t="s">
        <v>2387</v>
      </c>
      <c r="B102" s="6471" t="s">
        <v>16</v>
      </c>
      <c r="C102" s="6471" t="s">
        <v>2743</v>
      </c>
      <c r="D102" s="6471" t="s">
        <v>2744</v>
      </c>
      <c r="E102" s="6471" t="s">
        <v>2745</v>
      </c>
      <c r="F102" s="6471" t="s">
        <v>2443</v>
      </c>
      <c r="G102" s="6471" t="s">
        <v>28</v>
      </c>
      <c r="H102" s="6471" t="s">
        <v>2746</v>
      </c>
      <c r="I102" s="6471" t="s">
        <v>945</v>
      </c>
    </row>
    <row customHeight="1" ht="11.25">
      <c r="A103" s="6471" t="s">
        <v>2387</v>
      </c>
      <c r="B103" s="6471" t="s">
        <v>16</v>
      </c>
      <c r="C103" s="6471" t="s">
        <v>2747</v>
      </c>
      <c r="D103" s="6471" t="s">
        <v>2748</v>
      </c>
      <c r="E103" s="6471" t="s">
        <v>2749</v>
      </c>
      <c r="F103" s="6471" t="s">
        <v>2460</v>
      </c>
      <c r="G103" s="6471" t="s">
        <v>2750</v>
      </c>
      <c r="H103" s="6471" t="s">
        <v>28</v>
      </c>
      <c r="I103" s="6471" t="s">
        <v>945</v>
      </c>
    </row>
    <row customHeight="1" ht="11.25">
      <c r="A104" s="6471" t="s">
        <v>2387</v>
      </c>
      <c r="B104" s="6471" t="s">
        <v>16</v>
      </c>
      <c r="C104" s="6471" t="s">
        <v>2751</v>
      </c>
      <c r="D104" s="6471" t="s">
        <v>2752</v>
      </c>
      <c r="E104" s="6471" t="s">
        <v>2753</v>
      </c>
      <c r="F104" s="6471" t="s">
        <v>2754</v>
      </c>
      <c r="G104" s="6471" t="s">
        <v>28</v>
      </c>
      <c r="H104" s="6471" t="s">
        <v>28</v>
      </c>
      <c r="I104" s="6471" t="s">
        <v>945</v>
      </c>
    </row>
    <row customHeight="1" ht="11.25">
      <c r="A105" s="6471" t="s">
        <v>2387</v>
      </c>
      <c r="B105" s="6471" t="s">
        <v>16</v>
      </c>
      <c r="C105" s="6471" t="s">
        <v>2755</v>
      </c>
      <c r="D105" s="6471" t="s">
        <v>2756</v>
      </c>
      <c r="E105" s="6471" t="s">
        <v>2757</v>
      </c>
      <c r="F105" s="6471" t="s">
        <v>2390</v>
      </c>
      <c r="G105" s="6471" t="s">
        <v>28</v>
      </c>
      <c r="H105" s="6471" t="s">
        <v>28</v>
      </c>
      <c r="I105" s="6471" t="s">
        <v>945</v>
      </c>
    </row>
    <row customHeight="1" ht="11.25">
      <c r="A106" s="6471" t="s">
        <v>2387</v>
      </c>
      <c r="B106" s="6471" t="s">
        <v>16</v>
      </c>
      <c r="C106" s="6471" t="s">
        <v>2758</v>
      </c>
      <c r="D106" s="6471" t="s">
        <v>2759</v>
      </c>
      <c r="E106" s="6471" t="s">
        <v>2760</v>
      </c>
      <c r="F106" s="6471" t="s">
        <v>2402</v>
      </c>
      <c r="G106" s="6471" t="s">
        <v>28</v>
      </c>
      <c r="H106" s="6471" t="s">
        <v>28</v>
      </c>
      <c r="I106" s="6471" t="s">
        <v>945</v>
      </c>
    </row>
    <row customHeight="1" ht="11.25">
      <c r="A107" s="6471" t="s">
        <v>2387</v>
      </c>
      <c r="B107" s="6471" t="s">
        <v>16</v>
      </c>
      <c r="C107" s="6471" t="s">
        <v>2761</v>
      </c>
      <c r="D107" s="6471" t="s">
        <v>2762</v>
      </c>
      <c r="E107" s="6471" t="s">
        <v>2763</v>
      </c>
      <c r="F107" s="6471" t="s">
        <v>2394</v>
      </c>
      <c r="G107" s="6471" t="s">
        <v>28</v>
      </c>
      <c r="H107" s="6471" t="s">
        <v>28</v>
      </c>
      <c r="I107" s="6471" t="s">
        <v>945</v>
      </c>
    </row>
    <row customHeight="1" ht="11.25">
      <c r="A108" s="6471" t="s">
        <v>2387</v>
      </c>
      <c r="B108" s="6471" t="s">
        <v>16</v>
      </c>
      <c r="C108" s="6471" t="s">
        <v>2764</v>
      </c>
      <c r="D108" s="6471" t="s">
        <v>2765</v>
      </c>
      <c r="E108" s="6471" t="s">
        <v>2766</v>
      </c>
      <c r="F108" s="6471" t="s">
        <v>2767</v>
      </c>
      <c r="G108" s="6471" t="s">
        <v>2768</v>
      </c>
      <c r="H108" s="6471" t="s">
        <v>28</v>
      </c>
      <c r="I108" s="6471" t="s">
        <v>945</v>
      </c>
    </row>
    <row customHeight="1" ht="11.25">
      <c r="A109" s="6471" t="s">
        <v>2387</v>
      </c>
      <c r="B109" s="6471" t="s">
        <v>16</v>
      </c>
      <c r="C109" s="6471" t="s">
        <v>2769</v>
      </c>
      <c r="D109" s="6471" t="s">
        <v>2770</v>
      </c>
      <c r="E109" s="6471" t="s">
        <v>2771</v>
      </c>
      <c r="F109" s="6471" t="s">
        <v>2732</v>
      </c>
      <c r="G109" s="6471" t="s">
        <v>2772</v>
      </c>
      <c r="H109" s="6471" t="s">
        <v>28</v>
      </c>
      <c r="I109" s="6471" t="s">
        <v>945</v>
      </c>
    </row>
    <row customHeight="1" ht="11.25">
      <c r="A110" s="6471" t="s">
        <v>2387</v>
      </c>
      <c r="B110" s="6471" t="s">
        <v>16</v>
      </c>
      <c r="C110" s="6471" t="s">
        <v>2773</v>
      </c>
      <c r="D110" s="6471" t="s">
        <v>2774</v>
      </c>
      <c r="E110" s="6471" t="s">
        <v>2775</v>
      </c>
      <c r="F110" s="6471" t="s">
        <v>2443</v>
      </c>
      <c r="G110" s="6471" t="s">
        <v>2776</v>
      </c>
      <c r="H110" s="6471" t="s">
        <v>28</v>
      </c>
      <c r="I110" s="6471" t="s">
        <v>945</v>
      </c>
    </row>
    <row customHeight="1" ht="11.25">
      <c r="A111" s="6471" t="s">
        <v>2387</v>
      </c>
      <c r="B111" s="6471" t="s">
        <v>16</v>
      </c>
      <c r="C111" s="6471" t="s">
        <v>2777</v>
      </c>
      <c r="D111" s="6471" t="s">
        <v>2778</v>
      </c>
      <c r="E111" s="6471" t="s">
        <v>2779</v>
      </c>
      <c r="F111" s="6471" t="s">
        <v>2780</v>
      </c>
      <c r="G111" s="6471" t="s">
        <v>28</v>
      </c>
      <c r="H111" s="6471" t="s">
        <v>28</v>
      </c>
      <c r="I111" s="6471" t="s">
        <v>945</v>
      </c>
    </row>
    <row customHeight="1" ht="11.25">
      <c r="A112" s="6471" t="s">
        <v>2387</v>
      </c>
      <c r="B112" s="6471" t="s">
        <v>16</v>
      </c>
      <c r="C112" s="6471" t="s">
        <v>2781</v>
      </c>
      <c r="D112" s="6471" t="s">
        <v>2782</v>
      </c>
      <c r="E112" s="6471" t="s">
        <v>2783</v>
      </c>
      <c r="F112" s="6471" t="s">
        <v>2390</v>
      </c>
      <c r="G112" s="6471" t="s">
        <v>28</v>
      </c>
      <c r="H112" s="6471" t="s">
        <v>28</v>
      </c>
      <c r="I112" s="6471" t="s">
        <v>945</v>
      </c>
    </row>
    <row customHeight="1" ht="11.25">
      <c r="A113" s="6471" t="s">
        <v>2387</v>
      </c>
      <c r="B113" s="6471" t="s">
        <v>16</v>
      </c>
      <c r="C113" s="6471" t="s">
        <v>2784</v>
      </c>
      <c r="D113" s="6471" t="s">
        <v>2785</v>
      </c>
      <c r="E113" s="6471" t="s">
        <v>2489</v>
      </c>
      <c r="F113" s="6471" t="s">
        <v>2786</v>
      </c>
      <c r="G113" s="6471" t="s">
        <v>28</v>
      </c>
      <c r="H113" s="6471" t="s">
        <v>28</v>
      </c>
      <c r="I113" s="6471" t="s">
        <v>945</v>
      </c>
    </row>
    <row customHeight="1" ht="11.25">
      <c r="A114" s="6471" t="s">
        <v>2387</v>
      </c>
      <c r="B114" s="6471" t="s">
        <v>16</v>
      </c>
      <c r="C114" s="6471" t="s">
        <v>2787</v>
      </c>
      <c r="D114" s="6471" t="s">
        <v>2788</v>
      </c>
      <c r="E114" s="6471" t="s">
        <v>2789</v>
      </c>
      <c r="F114" s="6471" t="s">
        <v>2595</v>
      </c>
      <c r="G114" s="6471" t="s">
        <v>28</v>
      </c>
      <c r="H114" s="6471" t="s">
        <v>28</v>
      </c>
      <c r="I114" s="6471" t="s">
        <v>945</v>
      </c>
    </row>
    <row customHeight="1" ht="11.25">
      <c r="A115" s="6471" t="s">
        <v>2387</v>
      </c>
      <c r="B115" s="6471" t="s">
        <v>16</v>
      </c>
      <c r="C115" s="6471" t="s">
        <v>2790</v>
      </c>
      <c r="D115" s="6471" t="s">
        <v>2791</v>
      </c>
      <c r="E115" s="6471" t="s">
        <v>2792</v>
      </c>
      <c r="F115" s="6471" t="s">
        <v>2793</v>
      </c>
      <c r="G115" s="6471" t="s">
        <v>2794</v>
      </c>
      <c r="H115" s="6471" t="s">
        <v>28</v>
      </c>
      <c r="I115" s="6471" t="s">
        <v>945</v>
      </c>
    </row>
    <row customHeight="1" ht="11.25">
      <c r="A116" s="6471" t="s">
        <v>2387</v>
      </c>
      <c r="B116" s="6471" t="s">
        <v>16</v>
      </c>
      <c r="C116" s="6471" t="s">
        <v>2795</v>
      </c>
      <c r="D116" s="6471" t="s">
        <v>2796</v>
      </c>
      <c r="E116" s="6471" t="s">
        <v>2797</v>
      </c>
      <c r="F116" s="6471" t="s">
        <v>2595</v>
      </c>
      <c r="G116" s="6471" t="s">
        <v>28</v>
      </c>
      <c r="H116" s="6471" t="s">
        <v>28</v>
      </c>
      <c r="I116" s="6471" t="s">
        <v>945</v>
      </c>
    </row>
    <row customHeight="1" ht="11.25">
      <c r="A117" s="6471" t="s">
        <v>2387</v>
      </c>
      <c r="B117" s="6471" t="s">
        <v>16</v>
      </c>
      <c r="C117" s="6471" t="s">
        <v>2798</v>
      </c>
      <c r="D117" s="6471" t="s">
        <v>2799</v>
      </c>
      <c r="E117" s="6471" t="s">
        <v>2800</v>
      </c>
      <c r="F117" s="6471" t="s">
        <v>54</v>
      </c>
      <c r="G117" s="6471" t="s">
        <v>28</v>
      </c>
      <c r="H117" s="6471" t="s">
        <v>28</v>
      </c>
      <c r="I117" s="6471" t="s">
        <v>945</v>
      </c>
    </row>
    <row customHeight="1" ht="11.25">
      <c r="A118" s="6471" t="s">
        <v>2387</v>
      </c>
      <c r="B118" s="6471" t="s">
        <v>16</v>
      </c>
      <c r="C118" s="6471" t="s">
        <v>2801</v>
      </c>
      <c r="D118" s="6471" t="s">
        <v>2802</v>
      </c>
      <c r="E118" s="6471" t="s">
        <v>2803</v>
      </c>
      <c r="F118" s="6471" t="s">
        <v>2531</v>
      </c>
      <c r="G118" s="6471" t="s">
        <v>28</v>
      </c>
      <c r="H118" s="6471" t="s">
        <v>28</v>
      </c>
      <c r="I118" s="6471" t="s">
        <v>945</v>
      </c>
    </row>
    <row customHeight="1" ht="11.25">
      <c r="A119" s="6471" t="s">
        <v>2387</v>
      </c>
      <c r="B119" s="6471" t="s">
        <v>16</v>
      </c>
      <c r="C119" s="6471" t="s">
        <v>2804</v>
      </c>
      <c r="D119" s="6471" t="s">
        <v>2805</v>
      </c>
      <c r="E119" s="6471" t="s">
        <v>2806</v>
      </c>
      <c r="F119" s="6471" t="s">
        <v>2398</v>
      </c>
      <c r="G119" s="6471" t="s">
        <v>28</v>
      </c>
      <c r="H119" s="6471" t="s">
        <v>28</v>
      </c>
      <c r="I119" s="6471" t="s">
        <v>945</v>
      </c>
    </row>
    <row customHeight="1" ht="11.25">
      <c r="A120" s="6471" t="s">
        <v>2387</v>
      </c>
      <c r="B120" s="6471" t="s">
        <v>16</v>
      </c>
      <c r="C120" s="6471" t="s">
        <v>2807</v>
      </c>
      <c r="D120" s="6471" t="s">
        <v>2808</v>
      </c>
      <c r="E120" s="6471" t="s">
        <v>2809</v>
      </c>
      <c r="F120" s="6471" t="s">
        <v>2810</v>
      </c>
      <c r="G120" s="6471" t="s">
        <v>28</v>
      </c>
      <c r="H120" s="6471" t="s">
        <v>28</v>
      </c>
      <c r="I120" s="6471" t="s">
        <v>945</v>
      </c>
    </row>
    <row customHeight="1" ht="11.25">
      <c r="A121" s="6471" t="s">
        <v>2387</v>
      </c>
      <c r="B121" s="6471" t="s">
        <v>16</v>
      </c>
      <c r="C121" s="6471" t="s">
        <v>2811</v>
      </c>
      <c r="D121" s="6471" t="s">
        <v>2812</v>
      </c>
      <c r="E121" s="6471" t="s">
        <v>2813</v>
      </c>
      <c r="F121" s="6471" t="s">
        <v>2452</v>
      </c>
      <c r="G121" s="6471" t="s">
        <v>28</v>
      </c>
      <c r="H121" s="6471" t="s">
        <v>28</v>
      </c>
      <c r="I121" s="6471" t="s">
        <v>945</v>
      </c>
    </row>
    <row customHeight="1" ht="11.25">
      <c r="A122" s="6471" t="s">
        <v>2387</v>
      </c>
      <c r="B122" s="6471" t="s">
        <v>16</v>
      </c>
      <c r="C122" s="6471" t="s">
        <v>2814</v>
      </c>
      <c r="D122" s="6471" t="s">
        <v>2815</v>
      </c>
      <c r="E122" s="6471" t="s">
        <v>2816</v>
      </c>
      <c r="F122" s="6471" t="s">
        <v>2431</v>
      </c>
      <c r="G122" s="6471" t="s">
        <v>28</v>
      </c>
      <c r="H122" s="6471" t="s">
        <v>28</v>
      </c>
      <c r="I122" s="6471" t="s">
        <v>945</v>
      </c>
    </row>
    <row customHeight="1" ht="11.25">
      <c r="A123" s="6471" t="s">
        <v>2387</v>
      </c>
      <c r="B123" s="6471" t="s">
        <v>16</v>
      </c>
      <c r="C123" s="6471" t="s">
        <v>2817</v>
      </c>
      <c r="D123" s="6471" t="s">
        <v>2818</v>
      </c>
      <c r="E123" s="6471" t="s">
        <v>2819</v>
      </c>
      <c r="F123" s="6471" t="s">
        <v>54</v>
      </c>
      <c r="G123" s="6471" t="s">
        <v>28</v>
      </c>
      <c r="H123" s="6471" t="s">
        <v>28</v>
      </c>
      <c r="I123" s="6471" t="s">
        <v>945</v>
      </c>
    </row>
    <row customHeight="1" ht="11.25">
      <c r="A124" s="6471" t="s">
        <v>2387</v>
      </c>
      <c r="B124" s="6471" t="s">
        <v>16</v>
      </c>
      <c r="C124" s="6471" t="s">
        <v>2820</v>
      </c>
      <c r="D124" s="6471" t="s">
        <v>2821</v>
      </c>
      <c r="E124" s="6471" t="s">
        <v>2822</v>
      </c>
      <c r="F124" s="6471" t="s">
        <v>2431</v>
      </c>
      <c r="G124" s="6471" t="s">
        <v>28</v>
      </c>
      <c r="H124" s="6471" t="s">
        <v>28</v>
      </c>
      <c r="I124" s="6471" t="s">
        <v>945</v>
      </c>
    </row>
    <row customHeight="1" ht="11.25">
      <c r="A125" s="6471" t="s">
        <v>2387</v>
      </c>
      <c r="B125" s="6471" t="s">
        <v>16</v>
      </c>
      <c r="C125" s="6471" t="s">
        <v>2823</v>
      </c>
      <c r="D125" s="6471" t="s">
        <v>2824</v>
      </c>
      <c r="E125" s="6471" t="s">
        <v>2825</v>
      </c>
      <c r="F125" s="6471" t="s">
        <v>2431</v>
      </c>
      <c r="G125" s="6471" t="s">
        <v>28</v>
      </c>
      <c r="H125" s="6471" t="s">
        <v>28</v>
      </c>
      <c r="I125" s="6471" t="s">
        <v>945</v>
      </c>
    </row>
    <row customHeight="1" ht="11.25">
      <c r="A126" s="6471" t="s">
        <v>2387</v>
      </c>
      <c r="B126" s="6471" t="s">
        <v>16</v>
      </c>
      <c r="C126" s="6471" t="s">
        <v>2826</v>
      </c>
      <c r="D126" s="6471" t="s">
        <v>2827</v>
      </c>
      <c r="E126" s="6471" t="s">
        <v>2828</v>
      </c>
      <c r="F126" s="6471" t="s">
        <v>2595</v>
      </c>
      <c r="G126" s="6471" t="s">
        <v>28</v>
      </c>
      <c r="H126" s="6471" t="s">
        <v>28</v>
      </c>
      <c r="I126" s="6471" t="s">
        <v>945</v>
      </c>
    </row>
    <row customHeight="1" ht="11.25">
      <c r="A127" s="6471" t="s">
        <v>2387</v>
      </c>
      <c r="B127" s="6471" t="s">
        <v>16</v>
      </c>
      <c r="C127" s="6471" t="s">
        <v>2829</v>
      </c>
      <c r="D127" s="6471" t="s">
        <v>2830</v>
      </c>
      <c r="E127" s="6471" t="s">
        <v>2831</v>
      </c>
      <c r="F127" s="6471" t="s">
        <v>2832</v>
      </c>
      <c r="G127" s="6471" t="s">
        <v>28</v>
      </c>
      <c r="H127" s="6471" t="s">
        <v>28</v>
      </c>
      <c r="I127" s="6471" t="s">
        <v>945</v>
      </c>
    </row>
    <row customHeight="1" ht="11.25">
      <c r="A128" s="6471" t="s">
        <v>2387</v>
      </c>
      <c r="B128" s="6471" t="s">
        <v>16</v>
      </c>
      <c r="C128" s="6471" t="s">
        <v>2833</v>
      </c>
      <c r="D128" s="6471" t="s">
        <v>2834</v>
      </c>
      <c r="E128" s="6471" t="s">
        <v>2835</v>
      </c>
      <c r="F128" s="6471" t="s">
        <v>2836</v>
      </c>
      <c r="G128" s="6471" t="s">
        <v>28</v>
      </c>
      <c r="H128" s="6471" t="s">
        <v>28</v>
      </c>
      <c r="I128" s="6471" t="s">
        <v>945</v>
      </c>
    </row>
    <row customHeight="1" ht="11.25">
      <c r="A129" s="6471" t="s">
        <v>2387</v>
      </c>
      <c r="B129" s="6471" t="s">
        <v>16</v>
      </c>
      <c r="C129" s="6471" t="s">
        <v>2837</v>
      </c>
      <c r="D129" s="6471" t="s">
        <v>2838</v>
      </c>
      <c r="E129" s="6471" t="s">
        <v>2839</v>
      </c>
      <c r="F129" s="6471" t="s">
        <v>2419</v>
      </c>
      <c r="G129" s="6471" t="s">
        <v>28</v>
      </c>
      <c r="H129" s="6471" t="s">
        <v>28</v>
      </c>
      <c r="I129" s="6471" t="s">
        <v>945</v>
      </c>
    </row>
    <row customHeight="1" ht="11.25">
      <c r="A130" s="6471" t="s">
        <v>2387</v>
      </c>
      <c r="B130" s="6471" t="s">
        <v>16</v>
      </c>
      <c r="C130" s="6471" t="s">
        <v>2840</v>
      </c>
      <c r="D130" s="6471" t="s">
        <v>2841</v>
      </c>
      <c r="E130" s="6471" t="s">
        <v>2842</v>
      </c>
      <c r="F130" s="6471" t="s">
        <v>2423</v>
      </c>
      <c r="G130" s="6471" t="s">
        <v>28</v>
      </c>
      <c r="H130" s="6471" t="s">
        <v>28</v>
      </c>
      <c r="I130" s="6471" t="s">
        <v>945</v>
      </c>
    </row>
    <row customHeight="1" ht="11.25">
      <c r="A131" s="6471" t="s">
        <v>2387</v>
      </c>
      <c r="B131" s="6471" t="s">
        <v>16</v>
      </c>
      <c r="C131" s="6471" t="s">
        <v>28</v>
      </c>
      <c r="D131" s="6471" t="s">
        <v>2388</v>
      </c>
      <c r="E131" s="6471" t="s">
        <v>2389</v>
      </c>
      <c r="F131" s="6471" t="s">
        <v>2390</v>
      </c>
      <c r="G131" s="6471" t="s">
        <v>28</v>
      </c>
      <c r="H131" s="6471" t="s">
        <v>28</v>
      </c>
      <c r="I131" s="6471" t="s">
        <v>1031</v>
      </c>
    </row>
    <row customHeight="1" ht="11.25">
      <c r="A132" s="6471" t="s">
        <v>2387</v>
      </c>
      <c r="B132" s="6471" t="s">
        <v>16</v>
      </c>
      <c r="C132" s="6471" t="s">
        <v>2399</v>
      </c>
      <c r="D132" s="6471" t="s">
        <v>2400</v>
      </c>
      <c r="E132" s="6471" t="s">
        <v>2401</v>
      </c>
      <c r="F132" s="6471" t="s">
        <v>2402</v>
      </c>
      <c r="G132" s="6471" t="s">
        <v>28</v>
      </c>
      <c r="H132" s="6471" t="s">
        <v>28</v>
      </c>
      <c r="I132" s="6471" t="s">
        <v>1031</v>
      </c>
    </row>
    <row customHeight="1" ht="11.25">
      <c r="A133" s="6471" t="s">
        <v>2387</v>
      </c>
      <c r="B133" s="6471" t="s">
        <v>16</v>
      </c>
      <c r="C133" s="6471" t="s">
        <v>2403</v>
      </c>
      <c r="D133" s="6471" t="s">
        <v>2404</v>
      </c>
      <c r="E133" s="6471" t="s">
        <v>2405</v>
      </c>
      <c r="F133" s="6471" t="s">
        <v>2406</v>
      </c>
      <c r="G133" s="6471" t="s">
        <v>28</v>
      </c>
      <c r="H133" s="6471" t="s">
        <v>28</v>
      </c>
      <c r="I133" s="6471" t="s">
        <v>1031</v>
      </c>
    </row>
    <row customHeight="1" ht="11.25">
      <c r="A134" s="6471" t="s">
        <v>2387</v>
      </c>
      <c r="B134" s="6471" t="s">
        <v>16</v>
      </c>
      <c r="C134" s="6471" t="s">
        <v>2410</v>
      </c>
      <c r="D134" s="6471" t="s">
        <v>2411</v>
      </c>
      <c r="E134" s="6471" t="s">
        <v>2405</v>
      </c>
      <c r="F134" s="6471" t="s">
        <v>2412</v>
      </c>
      <c r="G134" s="6471" t="s">
        <v>28</v>
      </c>
      <c r="H134" s="6471" t="s">
        <v>28</v>
      </c>
      <c r="I134" s="6471" t="s">
        <v>1031</v>
      </c>
    </row>
    <row customHeight="1" ht="11.25">
      <c r="A135" s="6471" t="s">
        <v>2387</v>
      </c>
      <c r="B135" s="6471" t="s">
        <v>16</v>
      </c>
      <c r="C135" s="6471" t="s">
        <v>2413</v>
      </c>
      <c r="D135" s="6471" t="s">
        <v>2414</v>
      </c>
      <c r="E135" s="6471" t="s">
        <v>2405</v>
      </c>
      <c r="F135" s="6471" t="s">
        <v>2415</v>
      </c>
      <c r="G135" s="6471" t="s">
        <v>28</v>
      </c>
      <c r="H135" s="6471" t="s">
        <v>28</v>
      </c>
      <c r="I135" s="6471" t="s">
        <v>1031</v>
      </c>
    </row>
    <row customHeight="1" ht="11.25">
      <c r="A136" s="6471" t="s">
        <v>2387</v>
      </c>
      <c r="B136" s="6471" t="s">
        <v>16</v>
      </c>
      <c r="C136" s="6471" t="s">
        <v>2420</v>
      </c>
      <c r="D136" s="6471" t="s">
        <v>2421</v>
      </c>
      <c r="E136" s="6471" t="s">
        <v>2422</v>
      </c>
      <c r="F136" s="6471" t="s">
        <v>2423</v>
      </c>
      <c r="G136" s="6471" t="s">
        <v>28</v>
      </c>
      <c r="H136" s="6471" t="s">
        <v>28</v>
      </c>
      <c r="I136" s="6471" t="s">
        <v>1031</v>
      </c>
    </row>
    <row customHeight="1" ht="11.25">
      <c r="A137" s="6471" t="s">
        <v>2387</v>
      </c>
      <c r="B137" s="6471" t="s">
        <v>16</v>
      </c>
      <c r="C137" s="6471" t="s">
        <v>2432</v>
      </c>
      <c r="D137" s="6471" t="s">
        <v>2433</v>
      </c>
      <c r="E137" s="6471" t="s">
        <v>2434</v>
      </c>
      <c r="F137" s="6471" t="s">
        <v>2435</v>
      </c>
      <c r="G137" s="6471" t="s">
        <v>2436</v>
      </c>
      <c r="H137" s="6471" t="s">
        <v>28</v>
      </c>
      <c r="I137" s="6471" t="s">
        <v>1031</v>
      </c>
    </row>
    <row customHeight="1" ht="11.25">
      <c r="A138" s="6471" t="s">
        <v>2387</v>
      </c>
      <c r="B138" s="6471" t="s">
        <v>16</v>
      </c>
      <c r="C138" s="6471" t="s">
        <v>2449</v>
      </c>
      <c r="D138" s="6471" t="s">
        <v>2450</v>
      </c>
      <c r="E138" s="6471" t="s">
        <v>2451</v>
      </c>
      <c r="F138" s="6471" t="s">
        <v>2452</v>
      </c>
      <c r="G138" s="6471" t="s">
        <v>2453</v>
      </c>
      <c r="H138" s="6471" t="s">
        <v>28</v>
      </c>
      <c r="I138" s="6471" t="s">
        <v>1031</v>
      </c>
    </row>
    <row customHeight="1" ht="11.25">
      <c r="A139" s="6471" t="s">
        <v>2387</v>
      </c>
      <c r="B139" s="6471" t="s">
        <v>16</v>
      </c>
      <c r="C139" s="6471" t="s">
        <v>2454</v>
      </c>
      <c r="D139" s="6471" t="s">
        <v>2455</v>
      </c>
      <c r="E139" s="6471" t="s">
        <v>2456</v>
      </c>
      <c r="F139" s="6471" t="s">
        <v>2419</v>
      </c>
      <c r="G139" s="6471" t="s">
        <v>28</v>
      </c>
      <c r="H139" s="6471" t="s">
        <v>28</v>
      </c>
      <c r="I139" s="6471" t="s">
        <v>1031</v>
      </c>
    </row>
    <row customHeight="1" ht="11.25">
      <c r="A140" s="6471" t="s">
        <v>2387</v>
      </c>
      <c r="B140" s="6471" t="s">
        <v>16</v>
      </c>
      <c r="C140" s="6471" t="s">
        <v>2461</v>
      </c>
      <c r="D140" s="6471" t="s">
        <v>2462</v>
      </c>
      <c r="E140" s="6471" t="s">
        <v>2463</v>
      </c>
      <c r="F140" s="6471" t="s">
        <v>2431</v>
      </c>
      <c r="G140" s="6471" t="s">
        <v>2464</v>
      </c>
      <c r="H140" s="6471" t="s">
        <v>28</v>
      </c>
      <c r="I140" s="6471" t="s">
        <v>1031</v>
      </c>
    </row>
    <row customHeight="1" ht="11.25">
      <c r="A141" s="6471" t="s">
        <v>2387</v>
      </c>
      <c r="B141" s="6471" t="s">
        <v>16</v>
      </c>
      <c r="C141" s="6471" t="s">
        <v>2473</v>
      </c>
      <c r="D141" s="6471" t="s">
        <v>2474</v>
      </c>
      <c r="E141" s="6471" t="s">
        <v>2475</v>
      </c>
      <c r="F141" s="6471" t="s">
        <v>2476</v>
      </c>
      <c r="G141" s="6471" t="s">
        <v>28</v>
      </c>
      <c r="H141" s="6471" t="s">
        <v>28</v>
      </c>
      <c r="I141" s="6471" t="s">
        <v>1031</v>
      </c>
    </row>
    <row customHeight="1" ht="11.25">
      <c r="A142" s="6471" t="s">
        <v>2387</v>
      </c>
      <c r="B142" s="6471" t="s">
        <v>16</v>
      </c>
      <c r="C142" s="6471" t="s">
        <v>2491</v>
      </c>
      <c r="D142" s="6471" t="s">
        <v>2492</v>
      </c>
      <c r="E142" s="6471" t="s">
        <v>2489</v>
      </c>
      <c r="F142" s="6471" t="s">
        <v>2493</v>
      </c>
      <c r="G142" s="6471" t="s">
        <v>28</v>
      </c>
      <c r="H142" s="6471" t="s">
        <v>28</v>
      </c>
      <c r="I142" s="6471" t="s">
        <v>1031</v>
      </c>
    </row>
    <row customHeight="1" ht="11.25">
      <c r="A143" s="6471" t="s">
        <v>2387</v>
      </c>
      <c r="B143" s="6471" t="s">
        <v>16</v>
      </c>
      <c r="C143" s="6471" t="s">
        <v>2843</v>
      </c>
      <c r="D143" s="6471" t="s">
        <v>49</v>
      </c>
      <c r="E143" s="6471" t="s">
        <v>52</v>
      </c>
      <c r="F143" s="6471" t="s">
        <v>2844</v>
      </c>
      <c r="G143" s="6471" t="s">
        <v>28</v>
      </c>
      <c r="H143" s="6471" t="s">
        <v>28</v>
      </c>
      <c r="I143" s="6471" t="s">
        <v>1031</v>
      </c>
    </row>
    <row customHeight="1" ht="11.25">
      <c r="A144" s="6471" t="s">
        <v>2387</v>
      </c>
      <c r="B144" s="6471" t="s">
        <v>16</v>
      </c>
      <c r="C144" s="6471" t="s">
        <v>2845</v>
      </c>
      <c r="D144" s="6471" t="s">
        <v>49</v>
      </c>
      <c r="E144" s="6471" t="s">
        <v>52</v>
      </c>
      <c r="F144" s="6471" t="s">
        <v>2846</v>
      </c>
      <c r="G144" s="6471" t="s">
        <v>28</v>
      </c>
      <c r="H144" s="6471" t="s">
        <v>28</v>
      </c>
      <c r="I144" s="6471" t="s">
        <v>1031</v>
      </c>
    </row>
    <row customHeight="1" ht="11.25">
      <c r="A145" s="6471" t="s">
        <v>2387</v>
      </c>
      <c r="B145" s="6471" t="s">
        <v>16</v>
      </c>
      <c r="C145" s="6471" t="s">
        <v>2847</v>
      </c>
      <c r="D145" s="6471" t="s">
        <v>49</v>
      </c>
      <c r="E145" s="6471" t="s">
        <v>52</v>
      </c>
      <c r="F145" s="6471" t="s">
        <v>2848</v>
      </c>
      <c r="G145" s="6471" t="s">
        <v>28</v>
      </c>
      <c r="H145" s="6471" t="s">
        <v>28</v>
      </c>
      <c r="I145" s="6471" t="s">
        <v>1031</v>
      </c>
    </row>
    <row customHeight="1" ht="11.25">
      <c r="A146" s="6471" t="s">
        <v>2387</v>
      </c>
      <c r="B146" s="6471" t="s">
        <v>16</v>
      </c>
      <c r="C146" s="6471" t="s">
        <v>2849</v>
      </c>
      <c r="D146" s="6471" t="s">
        <v>49</v>
      </c>
      <c r="E146" s="6471" t="s">
        <v>52</v>
      </c>
      <c r="F146" s="6471" t="s">
        <v>2850</v>
      </c>
      <c r="G146" s="6471" t="s">
        <v>28</v>
      </c>
      <c r="H146" s="6471" t="s">
        <v>28</v>
      </c>
      <c r="I146" s="6471" t="s">
        <v>1031</v>
      </c>
    </row>
    <row customHeight="1" ht="11.25">
      <c r="A147" s="6471" t="s">
        <v>2387</v>
      </c>
      <c r="B147" s="6471" t="s">
        <v>16</v>
      </c>
      <c r="C147" s="6471" t="s">
        <v>2851</v>
      </c>
      <c r="D147" s="6471" t="s">
        <v>49</v>
      </c>
      <c r="E147" s="6471" t="s">
        <v>52</v>
      </c>
      <c r="F147" s="6471" t="s">
        <v>2852</v>
      </c>
      <c r="G147" s="6471" t="s">
        <v>28</v>
      </c>
      <c r="H147" s="6471" t="s">
        <v>28</v>
      </c>
      <c r="I147" s="6471" t="s">
        <v>1031</v>
      </c>
    </row>
    <row customHeight="1" ht="11.25">
      <c r="A148" s="6471" t="s">
        <v>2387</v>
      </c>
      <c r="B148" s="6471" t="s">
        <v>16</v>
      </c>
      <c r="C148" s="6471" t="s">
        <v>2853</v>
      </c>
      <c r="D148" s="6471" t="s">
        <v>49</v>
      </c>
      <c r="E148" s="6471" t="s">
        <v>52</v>
      </c>
      <c r="F148" s="6471" t="s">
        <v>2854</v>
      </c>
      <c r="G148" s="6471" t="s">
        <v>28</v>
      </c>
      <c r="H148" s="6471" t="s">
        <v>28</v>
      </c>
      <c r="I148" s="6471" t="s">
        <v>1031</v>
      </c>
    </row>
    <row customHeight="1" ht="11.25">
      <c r="A149" s="6471" t="s">
        <v>2387</v>
      </c>
      <c r="B149" s="6471" t="s">
        <v>16</v>
      </c>
      <c r="C149" s="6471" t="s">
        <v>2855</v>
      </c>
      <c r="D149" s="6471" t="s">
        <v>49</v>
      </c>
      <c r="E149" s="6471" t="s">
        <v>52</v>
      </c>
      <c r="F149" s="6471" t="s">
        <v>2856</v>
      </c>
      <c r="G149" s="6471" t="s">
        <v>28</v>
      </c>
      <c r="H149" s="6471" t="s">
        <v>28</v>
      </c>
      <c r="I149" s="6471" t="s">
        <v>1031</v>
      </c>
    </row>
    <row customHeight="1" ht="11.25">
      <c r="A150" s="6471" t="s">
        <v>2387</v>
      </c>
      <c r="B150" s="6471" t="s">
        <v>16</v>
      </c>
      <c r="C150" s="6471" t="s">
        <v>2857</v>
      </c>
      <c r="D150" s="6471" t="s">
        <v>49</v>
      </c>
      <c r="E150" s="6471" t="s">
        <v>52</v>
      </c>
      <c r="F150" s="6471" t="s">
        <v>2858</v>
      </c>
      <c r="G150" s="6471" t="s">
        <v>28</v>
      </c>
      <c r="H150" s="6471" t="s">
        <v>28</v>
      </c>
      <c r="I150" s="6471" t="s">
        <v>1031</v>
      </c>
    </row>
    <row customHeight="1" ht="11.25">
      <c r="A151" s="6471" t="s">
        <v>2387</v>
      </c>
      <c r="B151" s="6471" t="s">
        <v>16</v>
      </c>
      <c r="C151" s="6471" t="s">
        <v>13</v>
      </c>
      <c r="D151" s="6471" t="s">
        <v>49</v>
      </c>
      <c r="E151" s="6471" t="s">
        <v>52</v>
      </c>
      <c r="F151" s="6471" t="s">
        <v>54</v>
      </c>
      <c r="G151" s="6471" t="s">
        <v>28</v>
      </c>
      <c r="H151" s="6471" t="s">
        <v>28</v>
      </c>
      <c r="I151" s="6471" t="s">
        <v>1031</v>
      </c>
    </row>
    <row customHeight="1" ht="11.25">
      <c r="A152" s="6471" t="s">
        <v>2387</v>
      </c>
      <c r="B152" s="6471" t="s">
        <v>16</v>
      </c>
      <c r="C152" s="6471" t="s">
        <v>2859</v>
      </c>
      <c r="D152" s="6471" t="s">
        <v>2860</v>
      </c>
      <c r="E152" s="6471" t="s">
        <v>52</v>
      </c>
      <c r="F152" s="6471" t="s">
        <v>2861</v>
      </c>
      <c r="G152" s="6471" t="s">
        <v>28</v>
      </c>
      <c r="H152" s="6471" t="s">
        <v>28</v>
      </c>
      <c r="I152" s="6471" t="s">
        <v>1031</v>
      </c>
    </row>
    <row customHeight="1" ht="11.25">
      <c r="A153" s="6471" t="s">
        <v>2387</v>
      </c>
      <c r="B153" s="6471" t="s">
        <v>16</v>
      </c>
      <c r="C153" s="6471" t="s">
        <v>2549</v>
      </c>
      <c r="D153" s="6471" t="s">
        <v>2550</v>
      </c>
      <c r="E153" s="6471" t="s">
        <v>2551</v>
      </c>
      <c r="F153" s="6471" t="s">
        <v>2419</v>
      </c>
      <c r="G153" s="6471" t="s">
        <v>28</v>
      </c>
      <c r="H153" s="6471" t="s">
        <v>28</v>
      </c>
      <c r="I153" s="6471" t="s">
        <v>1031</v>
      </c>
    </row>
    <row customHeight="1" ht="11.25">
      <c r="A154" s="6471" t="s">
        <v>2387</v>
      </c>
      <c r="B154" s="6471" t="s">
        <v>16</v>
      </c>
      <c r="C154" s="6471" t="s">
        <v>2556</v>
      </c>
      <c r="D154" s="6471" t="s">
        <v>2557</v>
      </c>
      <c r="E154" s="6471" t="s">
        <v>2558</v>
      </c>
      <c r="F154" s="6471" t="s">
        <v>2427</v>
      </c>
      <c r="G154" s="6471" t="s">
        <v>28</v>
      </c>
      <c r="H154" s="6471" t="s">
        <v>28</v>
      </c>
      <c r="I154" s="6471" t="s">
        <v>1031</v>
      </c>
    </row>
    <row customHeight="1" ht="11.25">
      <c r="A155" s="6471" t="s">
        <v>2387</v>
      </c>
      <c r="B155" s="6471" t="s">
        <v>16</v>
      </c>
      <c r="C155" s="6471" t="s">
        <v>2575</v>
      </c>
      <c r="D155" s="6471" t="s">
        <v>2576</v>
      </c>
      <c r="E155" s="6471" t="s">
        <v>2577</v>
      </c>
      <c r="F155" s="6471" t="s">
        <v>54</v>
      </c>
      <c r="G155" s="6471" t="s">
        <v>28</v>
      </c>
      <c r="H155" s="6471" t="s">
        <v>28</v>
      </c>
      <c r="I155" s="6471" t="s">
        <v>1031</v>
      </c>
    </row>
    <row customHeight="1" ht="11.25">
      <c r="A156" s="6471" t="s">
        <v>2387</v>
      </c>
      <c r="B156" s="6471" t="s">
        <v>16</v>
      </c>
      <c r="C156" s="6471" t="s">
        <v>2599</v>
      </c>
      <c r="D156" s="6471" t="s">
        <v>2600</v>
      </c>
      <c r="E156" s="6471" t="s">
        <v>2601</v>
      </c>
      <c r="F156" s="6471" t="s">
        <v>2431</v>
      </c>
      <c r="G156" s="6471" t="s">
        <v>28</v>
      </c>
      <c r="H156" s="6471" t="s">
        <v>2602</v>
      </c>
      <c r="I156" s="6471" t="s">
        <v>1031</v>
      </c>
    </row>
    <row customHeight="1" ht="11.25">
      <c r="A157" s="6471" t="s">
        <v>2387</v>
      </c>
      <c r="B157" s="6471" t="s">
        <v>16</v>
      </c>
      <c r="C157" s="6471" t="s">
        <v>2603</v>
      </c>
      <c r="D157" s="6471" t="s">
        <v>2604</v>
      </c>
      <c r="E157" s="6471" t="s">
        <v>2489</v>
      </c>
      <c r="F157" s="6471" t="s">
        <v>2605</v>
      </c>
      <c r="G157" s="6471" t="s">
        <v>28</v>
      </c>
      <c r="H157" s="6471" t="s">
        <v>28</v>
      </c>
      <c r="I157" s="6471" t="s">
        <v>1031</v>
      </c>
    </row>
    <row customHeight="1" ht="11.25">
      <c r="A158" s="6471" t="s">
        <v>2387</v>
      </c>
      <c r="B158" s="6471" t="s">
        <v>16</v>
      </c>
      <c r="C158" s="6471" t="s">
        <v>2655</v>
      </c>
      <c r="D158" s="6471" t="s">
        <v>2656</v>
      </c>
      <c r="E158" s="6471" t="s">
        <v>2657</v>
      </c>
      <c r="F158" s="6471" t="s">
        <v>2658</v>
      </c>
      <c r="G158" s="6471" t="s">
        <v>2659</v>
      </c>
      <c r="H158" s="6471" t="s">
        <v>28</v>
      </c>
      <c r="I158" s="6471" t="s">
        <v>1031</v>
      </c>
    </row>
    <row customHeight="1" ht="11.25">
      <c r="A159" s="6471" t="s">
        <v>2387</v>
      </c>
      <c r="B159" s="6471" t="s">
        <v>16</v>
      </c>
      <c r="C159" s="6471" t="s">
        <v>2666</v>
      </c>
      <c r="D159" s="6471" t="s">
        <v>2667</v>
      </c>
      <c r="E159" s="6471" t="s">
        <v>2668</v>
      </c>
      <c r="F159" s="6471" t="s">
        <v>2669</v>
      </c>
      <c r="G159" s="6471" t="s">
        <v>28</v>
      </c>
      <c r="H159" s="6471" t="s">
        <v>28</v>
      </c>
      <c r="I159" s="6471" t="s">
        <v>1031</v>
      </c>
    </row>
    <row customHeight="1" ht="11.25">
      <c r="A160" s="6471" t="s">
        <v>2387</v>
      </c>
      <c r="B160" s="6471" t="s">
        <v>16</v>
      </c>
      <c r="C160" s="6471" t="s">
        <v>2722</v>
      </c>
      <c r="D160" s="6471" t="s">
        <v>2723</v>
      </c>
      <c r="E160" s="6471" t="s">
        <v>2724</v>
      </c>
      <c r="F160" s="6471" t="s">
        <v>2725</v>
      </c>
      <c r="G160" s="6471" t="s">
        <v>28</v>
      </c>
      <c r="H160" s="6471" t="s">
        <v>28</v>
      </c>
      <c r="I160" s="6471" t="s">
        <v>1031</v>
      </c>
    </row>
    <row customHeight="1" ht="11.25">
      <c r="A161" s="6471" t="s">
        <v>2387</v>
      </c>
      <c r="B161" s="6471" t="s">
        <v>16</v>
      </c>
      <c r="C161" s="6471" t="s">
        <v>2781</v>
      </c>
      <c r="D161" s="6471" t="s">
        <v>2782</v>
      </c>
      <c r="E161" s="6471" t="s">
        <v>2783</v>
      </c>
      <c r="F161" s="6471" t="s">
        <v>2390</v>
      </c>
      <c r="G161" s="6471" t="s">
        <v>28</v>
      </c>
      <c r="H161" s="6471" t="s">
        <v>28</v>
      </c>
      <c r="I161" s="6471" t="s">
        <v>1031</v>
      </c>
    </row>
    <row customHeight="1" ht="11.25">
      <c r="A162" s="6471" t="s">
        <v>2387</v>
      </c>
      <c r="B162" s="6471" t="s">
        <v>16</v>
      </c>
      <c r="C162" s="6471" t="s">
        <v>2787</v>
      </c>
      <c r="D162" s="6471" t="s">
        <v>2788</v>
      </c>
      <c r="E162" s="6471" t="s">
        <v>2789</v>
      </c>
      <c r="F162" s="6471" t="s">
        <v>2595</v>
      </c>
      <c r="G162" s="6471" t="s">
        <v>28</v>
      </c>
      <c r="H162" s="6471" t="s">
        <v>28</v>
      </c>
      <c r="I162" s="6471" t="s">
        <v>1031</v>
      </c>
    </row>
    <row customHeight="1" ht="11.25">
      <c r="A163" s="6471" t="s">
        <v>2387</v>
      </c>
      <c r="B163" s="6471" t="s">
        <v>16</v>
      </c>
      <c r="C163" s="6471" t="s">
        <v>2790</v>
      </c>
      <c r="D163" s="6471" t="s">
        <v>2791</v>
      </c>
      <c r="E163" s="6471" t="s">
        <v>2792</v>
      </c>
      <c r="F163" s="6471" t="s">
        <v>2793</v>
      </c>
      <c r="G163" s="6471" t="s">
        <v>2794</v>
      </c>
      <c r="H163" s="6471" t="s">
        <v>28</v>
      </c>
      <c r="I163" s="6471" t="s">
        <v>1031</v>
      </c>
    </row>
    <row customHeight="1" ht="11.25">
      <c r="A164" s="6471" t="s">
        <v>2387</v>
      </c>
      <c r="B164" s="6471" t="s">
        <v>16</v>
      </c>
      <c r="C164" s="6471" t="s">
        <v>2826</v>
      </c>
      <c r="D164" s="6471" t="s">
        <v>2827</v>
      </c>
      <c r="E164" s="6471" t="s">
        <v>2828</v>
      </c>
      <c r="F164" s="6471" t="s">
        <v>2595</v>
      </c>
      <c r="G164" s="6471" t="s">
        <v>28</v>
      </c>
      <c r="H164" s="6471" t="s">
        <v>28</v>
      </c>
      <c r="I164" s="6471" t="s">
        <v>1031</v>
      </c>
    </row>
    <row customHeight="1" ht="11.25">
      <c r="A165" s="6471" t="s">
        <v>2387</v>
      </c>
      <c r="B165" s="6471" t="s">
        <v>16</v>
      </c>
      <c r="C165" s="6471" t="s">
        <v>2837</v>
      </c>
      <c r="D165" s="6471" t="s">
        <v>2838</v>
      </c>
      <c r="E165" s="6471" t="s">
        <v>2839</v>
      </c>
      <c r="F165" s="6471" t="s">
        <v>2419</v>
      </c>
      <c r="G165" s="6471" t="s">
        <v>28</v>
      </c>
      <c r="H165" s="6471" t="s">
        <v>28</v>
      </c>
      <c r="I165" s="6471" t="s">
        <v>1031</v>
      </c>
    </row>
    <row customHeight="1" ht="11.25">
      <c r="A166" s="6471" t="s">
        <v>2387</v>
      </c>
      <c r="B166" s="6471" t="s">
        <v>16</v>
      </c>
      <c r="C166" s="6471" t="s">
        <v>28</v>
      </c>
      <c r="D166" s="6471" t="s">
        <v>2388</v>
      </c>
      <c r="E166" s="6471" t="s">
        <v>2389</v>
      </c>
      <c r="F166" s="6471" t="s">
        <v>2390</v>
      </c>
      <c r="G166" s="6471" t="s">
        <v>28</v>
      </c>
      <c r="H166" s="6471" t="s">
        <v>28</v>
      </c>
      <c r="I166" s="6471" t="s">
        <v>991</v>
      </c>
    </row>
    <row customHeight="1" ht="11.25">
      <c r="A167" s="6471" t="s">
        <v>2387</v>
      </c>
      <c r="B167" s="6471" t="s">
        <v>16</v>
      </c>
      <c r="C167" s="6471" t="s">
        <v>2391</v>
      </c>
      <c r="D167" s="6471" t="s">
        <v>2392</v>
      </c>
      <c r="E167" s="6471" t="s">
        <v>2393</v>
      </c>
      <c r="F167" s="6471" t="s">
        <v>2394</v>
      </c>
      <c r="G167" s="6471" t="s">
        <v>28</v>
      </c>
      <c r="H167" s="6471" t="s">
        <v>28</v>
      </c>
      <c r="I167" s="6471" t="s">
        <v>991</v>
      </c>
    </row>
    <row customHeight="1" ht="11.25">
      <c r="A168" s="6471" t="s">
        <v>2387</v>
      </c>
      <c r="B168" s="6471" t="s">
        <v>16</v>
      </c>
      <c r="C168" s="6471" t="s">
        <v>2399</v>
      </c>
      <c r="D168" s="6471" t="s">
        <v>2400</v>
      </c>
      <c r="E168" s="6471" t="s">
        <v>2401</v>
      </c>
      <c r="F168" s="6471" t="s">
        <v>2402</v>
      </c>
      <c r="G168" s="6471" t="s">
        <v>28</v>
      </c>
      <c r="H168" s="6471" t="s">
        <v>28</v>
      </c>
      <c r="I168" s="6471" t="s">
        <v>991</v>
      </c>
    </row>
    <row customHeight="1" ht="11.25">
      <c r="A169" s="6471" t="s">
        <v>2387</v>
      </c>
      <c r="B169" s="6471" t="s">
        <v>16</v>
      </c>
      <c r="C169" s="6471" t="s">
        <v>2403</v>
      </c>
      <c r="D169" s="6471" t="s">
        <v>2404</v>
      </c>
      <c r="E169" s="6471" t="s">
        <v>2405</v>
      </c>
      <c r="F169" s="6471" t="s">
        <v>2406</v>
      </c>
      <c r="G169" s="6471" t="s">
        <v>28</v>
      </c>
      <c r="H169" s="6471" t="s">
        <v>28</v>
      </c>
      <c r="I169" s="6471" t="s">
        <v>991</v>
      </c>
    </row>
    <row customHeight="1" ht="11.25">
      <c r="A170" s="6471" t="s">
        <v>2387</v>
      </c>
      <c r="B170" s="6471" t="s">
        <v>16</v>
      </c>
      <c r="C170" s="6471" t="s">
        <v>2407</v>
      </c>
      <c r="D170" s="6471" t="s">
        <v>2404</v>
      </c>
      <c r="E170" s="6471" t="s">
        <v>2405</v>
      </c>
      <c r="F170" s="6471" t="s">
        <v>2408</v>
      </c>
      <c r="G170" s="6471" t="s">
        <v>2409</v>
      </c>
      <c r="H170" s="6471" t="s">
        <v>28</v>
      </c>
      <c r="I170" s="6471" t="s">
        <v>991</v>
      </c>
    </row>
    <row customHeight="1" ht="11.25">
      <c r="A171" s="6471" t="s">
        <v>2387</v>
      </c>
      <c r="B171" s="6471" t="s">
        <v>16</v>
      </c>
      <c r="C171" s="6471" t="s">
        <v>2413</v>
      </c>
      <c r="D171" s="6471" t="s">
        <v>2414</v>
      </c>
      <c r="E171" s="6471" t="s">
        <v>2405</v>
      </c>
      <c r="F171" s="6471" t="s">
        <v>2415</v>
      </c>
      <c r="G171" s="6471" t="s">
        <v>28</v>
      </c>
      <c r="H171" s="6471" t="s">
        <v>28</v>
      </c>
      <c r="I171" s="6471" t="s">
        <v>991</v>
      </c>
    </row>
    <row customHeight="1" ht="11.25">
      <c r="A172" s="6471" t="s">
        <v>2387</v>
      </c>
      <c r="B172" s="6471" t="s">
        <v>16</v>
      </c>
      <c r="C172" s="6471" t="s">
        <v>2416</v>
      </c>
      <c r="D172" s="6471" t="s">
        <v>2417</v>
      </c>
      <c r="E172" s="6471" t="s">
        <v>2418</v>
      </c>
      <c r="F172" s="6471" t="s">
        <v>2419</v>
      </c>
      <c r="G172" s="6471" t="s">
        <v>28</v>
      </c>
      <c r="H172" s="6471" t="s">
        <v>28</v>
      </c>
      <c r="I172" s="6471" t="s">
        <v>991</v>
      </c>
    </row>
    <row customHeight="1" ht="11.25">
      <c r="A173" s="6471" t="s">
        <v>2387</v>
      </c>
      <c r="B173" s="6471" t="s">
        <v>16</v>
      </c>
      <c r="C173" s="6471" t="s">
        <v>2428</v>
      </c>
      <c r="D173" s="6471" t="s">
        <v>2429</v>
      </c>
      <c r="E173" s="6471" t="s">
        <v>2430</v>
      </c>
      <c r="F173" s="6471" t="s">
        <v>2431</v>
      </c>
      <c r="G173" s="6471" t="s">
        <v>28</v>
      </c>
      <c r="H173" s="6471" t="s">
        <v>28</v>
      </c>
      <c r="I173" s="6471" t="s">
        <v>991</v>
      </c>
    </row>
    <row customHeight="1" ht="11.25">
      <c r="A174" s="6471" t="s">
        <v>2387</v>
      </c>
      <c r="B174" s="6471" t="s">
        <v>16</v>
      </c>
      <c r="C174" s="6471" t="s">
        <v>2862</v>
      </c>
      <c r="D174" s="6471" t="s">
        <v>2863</v>
      </c>
      <c r="E174" s="6471" t="s">
        <v>2864</v>
      </c>
      <c r="F174" s="6471" t="s">
        <v>2641</v>
      </c>
      <c r="G174" s="6471" t="s">
        <v>2865</v>
      </c>
      <c r="H174" s="6471" t="s">
        <v>28</v>
      </c>
      <c r="I174" s="6471" t="s">
        <v>991</v>
      </c>
    </row>
    <row customHeight="1" ht="11.25">
      <c r="A175" s="6471" t="s">
        <v>2387</v>
      </c>
      <c r="B175" s="6471" t="s">
        <v>16</v>
      </c>
      <c r="C175" s="6471" t="s">
        <v>2437</v>
      </c>
      <c r="D175" s="6471" t="s">
        <v>2438</v>
      </c>
      <c r="E175" s="6471" t="s">
        <v>2439</v>
      </c>
      <c r="F175" s="6471" t="s">
        <v>2398</v>
      </c>
      <c r="G175" s="6471" t="s">
        <v>28</v>
      </c>
      <c r="H175" s="6471" t="s">
        <v>28</v>
      </c>
      <c r="I175" s="6471" t="s">
        <v>991</v>
      </c>
    </row>
    <row customHeight="1" ht="11.25">
      <c r="A176" s="6471" t="s">
        <v>2387</v>
      </c>
      <c r="B176" s="6471" t="s">
        <v>16</v>
      </c>
      <c r="C176" s="6471" t="s">
        <v>2866</v>
      </c>
      <c r="D176" s="6471" t="s">
        <v>2867</v>
      </c>
      <c r="E176" s="6471" t="s">
        <v>2868</v>
      </c>
      <c r="F176" s="6471" t="s">
        <v>2419</v>
      </c>
      <c r="G176" s="6471" t="s">
        <v>2869</v>
      </c>
      <c r="H176" s="6471" t="s">
        <v>28</v>
      </c>
      <c r="I176" s="6471" t="s">
        <v>991</v>
      </c>
    </row>
    <row customHeight="1" ht="11.25">
      <c r="A177" s="6471" t="s">
        <v>2387</v>
      </c>
      <c r="B177" s="6471" t="s">
        <v>16</v>
      </c>
      <c r="C177" s="6471" t="s">
        <v>2449</v>
      </c>
      <c r="D177" s="6471" t="s">
        <v>2450</v>
      </c>
      <c r="E177" s="6471" t="s">
        <v>2451</v>
      </c>
      <c r="F177" s="6471" t="s">
        <v>2452</v>
      </c>
      <c r="G177" s="6471" t="s">
        <v>2453</v>
      </c>
      <c r="H177" s="6471" t="s">
        <v>28</v>
      </c>
      <c r="I177" s="6471" t="s">
        <v>991</v>
      </c>
    </row>
    <row customHeight="1" ht="11.25">
      <c r="A178" s="6471" t="s">
        <v>2387</v>
      </c>
      <c r="B178" s="6471" t="s">
        <v>16</v>
      </c>
      <c r="C178" s="6471" t="s">
        <v>2870</v>
      </c>
      <c r="D178" s="6471" t="s">
        <v>2871</v>
      </c>
      <c r="E178" s="6471" t="s">
        <v>2872</v>
      </c>
      <c r="F178" s="6471" t="s">
        <v>2398</v>
      </c>
      <c r="G178" s="6471" t="s">
        <v>28</v>
      </c>
      <c r="H178" s="6471" t="s">
        <v>28</v>
      </c>
      <c r="I178" s="6471" t="s">
        <v>991</v>
      </c>
    </row>
    <row customHeight="1" ht="11.25">
      <c r="A179" s="6471" t="s">
        <v>2387</v>
      </c>
      <c r="B179" s="6471" t="s">
        <v>16</v>
      </c>
      <c r="C179" s="6471" t="s">
        <v>2457</v>
      </c>
      <c r="D179" s="6471" t="s">
        <v>2458</v>
      </c>
      <c r="E179" s="6471" t="s">
        <v>2459</v>
      </c>
      <c r="F179" s="6471" t="s">
        <v>2460</v>
      </c>
      <c r="G179" s="6471" t="s">
        <v>28</v>
      </c>
      <c r="H179" s="6471" t="s">
        <v>28</v>
      </c>
      <c r="I179" s="6471" t="s">
        <v>991</v>
      </c>
    </row>
    <row customHeight="1" ht="11.25">
      <c r="A180" s="6471" t="s">
        <v>2387</v>
      </c>
      <c r="B180" s="6471" t="s">
        <v>16</v>
      </c>
      <c r="C180" s="6471" t="s">
        <v>2873</v>
      </c>
      <c r="D180" s="6471" t="s">
        <v>2874</v>
      </c>
      <c r="E180" s="6471" t="s">
        <v>2875</v>
      </c>
      <c r="F180" s="6471" t="s">
        <v>2836</v>
      </c>
      <c r="G180" s="6471" t="s">
        <v>2876</v>
      </c>
      <c r="H180" s="6471" t="s">
        <v>28</v>
      </c>
      <c r="I180" s="6471" t="s">
        <v>991</v>
      </c>
    </row>
    <row customHeight="1" ht="11.25">
      <c r="A181" s="6471" t="s">
        <v>2387</v>
      </c>
      <c r="B181" s="6471" t="s">
        <v>16</v>
      </c>
      <c r="C181" s="6471" t="s">
        <v>2469</v>
      </c>
      <c r="D181" s="6471" t="s">
        <v>2470</v>
      </c>
      <c r="E181" s="6471" t="s">
        <v>2471</v>
      </c>
      <c r="F181" s="6471" t="s">
        <v>2390</v>
      </c>
      <c r="G181" s="6471" t="s">
        <v>2472</v>
      </c>
      <c r="H181" s="6471" t="s">
        <v>28</v>
      </c>
      <c r="I181" s="6471" t="s">
        <v>991</v>
      </c>
    </row>
    <row customHeight="1" ht="11.25">
      <c r="A182" s="6471" t="s">
        <v>2387</v>
      </c>
      <c r="B182" s="6471" t="s">
        <v>16</v>
      </c>
      <c r="C182" s="6471" t="s">
        <v>2877</v>
      </c>
      <c r="D182" s="6471" t="s">
        <v>2878</v>
      </c>
      <c r="E182" s="6471" t="s">
        <v>2879</v>
      </c>
      <c r="F182" s="6471" t="s">
        <v>2880</v>
      </c>
      <c r="G182" s="6471" t="s">
        <v>28</v>
      </c>
      <c r="H182" s="6471" t="s">
        <v>28</v>
      </c>
      <c r="I182" s="6471" t="s">
        <v>991</v>
      </c>
    </row>
    <row customHeight="1" ht="11.25">
      <c r="A183" s="6471" t="s">
        <v>2387</v>
      </c>
      <c r="B183" s="6471" t="s">
        <v>16</v>
      </c>
      <c r="C183" s="6471" t="s">
        <v>2491</v>
      </c>
      <c r="D183" s="6471" t="s">
        <v>2492</v>
      </c>
      <c r="E183" s="6471" t="s">
        <v>2489</v>
      </c>
      <c r="F183" s="6471" t="s">
        <v>2493</v>
      </c>
      <c r="G183" s="6471" t="s">
        <v>28</v>
      </c>
      <c r="H183" s="6471" t="s">
        <v>28</v>
      </c>
      <c r="I183" s="6471" t="s">
        <v>991</v>
      </c>
    </row>
    <row customHeight="1" ht="11.25">
      <c r="A184" s="6471" t="s">
        <v>2387</v>
      </c>
      <c r="B184" s="6471" t="s">
        <v>16</v>
      </c>
      <c r="C184" s="6471" t="s">
        <v>2881</v>
      </c>
      <c r="D184" s="6471" t="s">
        <v>2882</v>
      </c>
      <c r="E184" s="6471" t="s">
        <v>2883</v>
      </c>
      <c r="F184" s="6471" t="s">
        <v>2531</v>
      </c>
      <c r="G184" s="6471" t="s">
        <v>28</v>
      </c>
      <c r="H184" s="6471" t="s">
        <v>28</v>
      </c>
      <c r="I184" s="6471" t="s">
        <v>991</v>
      </c>
    </row>
    <row customHeight="1" ht="11.25">
      <c r="A185" s="6471" t="s">
        <v>2387</v>
      </c>
      <c r="B185" s="6471" t="s">
        <v>16</v>
      </c>
      <c r="C185" s="6471" t="s">
        <v>2502</v>
      </c>
      <c r="D185" s="6471" t="s">
        <v>2503</v>
      </c>
      <c r="E185" s="6471" t="s">
        <v>2504</v>
      </c>
      <c r="F185" s="6471" t="s">
        <v>2443</v>
      </c>
      <c r="G185" s="6471" t="s">
        <v>28</v>
      </c>
      <c r="H185" s="6471" t="s">
        <v>28</v>
      </c>
      <c r="I185" s="6471" t="s">
        <v>991</v>
      </c>
    </row>
    <row customHeight="1" ht="11.25">
      <c r="A186" s="6471" t="s">
        <v>2387</v>
      </c>
      <c r="B186" s="6471" t="s">
        <v>16</v>
      </c>
      <c r="C186" s="6471" t="s">
        <v>2884</v>
      </c>
      <c r="D186" s="6471" t="s">
        <v>2885</v>
      </c>
      <c r="E186" s="6471" t="s">
        <v>2886</v>
      </c>
      <c r="F186" s="6471" t="s">
        <v>713</v>
      </c>
      <c r="G186" s="6471" t="s">
        <v>28</v>
      </c>
      <c r="H186" s="6471" t="s">
        <v>28</v>
      </c>
      <c r="I186" s="6471" t="s">
        <v>991</v>
      </c>
    </row>
    <row customHeight="1" ht="11.25">
      <c r="A187" s="6471" t="s">
        <v>2387</v>
      </c>
      <c r="B187" s="6471" t="s">
        <v>16</v>
      </c>
      <c r="C187" s="6471" t="s">
        <v>2887</v>
      </c>
      <c r="D187" s="6471" t="s">
        <v>2888</v>
      </c>
      <c r="E187" s="6471" t="s">
        <v>2889</v>
      </c>
      <c r="F187" s="6471" t="s">
        <v>713</v>
      </c>
      <c r="G187" s="6471" t="s">
        <v>28</v>
      </c>
      <c r="H187" s="6471" t="s">
        <v>28</v>
      </c>
      <c r="I187" s="6471" t="s">
        <v>991</v>
      </c>
    </row>
    <row customHeight="1" ht="11.25">
      <c r="A188" s="6471" t="s">
        <v>2387</v>
      </c>
      <c r="B188" s="6471" t="s">
        <v>16</v>
      </c>
      <c r="C188" s="6471" t="s">
        <v>2890</v>
      </c>
      <c r="D188" s="6471" t="s">
        <v>2891</v>
      </c>
      <c r="E188" s="6471" t="s">
        <v>2892</v>
      </c>
      <c r="F188" s="6471" t="s">
        <v>713</v>
      </c>
      <c r="G188" s="6471" t="s">
        <v>28</v>
      </c>
      <c r="H188" s="6471" t="s">
        <v>28</v>
      </c>
      <c r="I188" s="6471" t="s">
        <v>991</v>
      </c>
    </row>
    <row customHeight="1" ht="11.25">
      <c r="A189" s="6471" t="s">
        <v>2387</v>
      </c>
      <c r="B189" s="6471" t="s">
        <v>16</v>
      </c>
      <c r="C189" s="6471" t="s">
        <v>2532</v>
      </c>
      <c r="D189" s="6471" t="s">
        <v>2533</v>
      </c>
      <c r="E189" s="6471" t="s">
        <v>2534</v>
      </c>
      <c r="F189" s="6471" t="s">
        <v>2497</v>
      </c>
      <c r="G189" s="6471" t="s">
        <v>28</v>
      </c>
      <c r="H189" s="6471" t="s">
        <v>28</v>
      </c>
      <c r="I189" s="6471" t="s">
        <v>991</v>
      </c>
    </row>
    <row customHeight="1" ht="11.25">
      <c r="A190" s="6471" t="s">
        <v>2387</v>
      </c>
      <c r="B190" s="6471" t="s">
        <v>16</v>
      </c>
      <c r="C190" s="6471" t="s">
        <v>2893</v>
      </c>
      <c r="D190" s="6471" t="s">
        <v>49</v>
      </c>
      <c r="E190" s="6471" t="s">
        <v>52</v>
      </c>
      <c r="F190" s="6471" t="s">
        <v>2894</v>
      </c>
      <c r="G190" s="6471" t="s">
        <v>28</v>
      </c>
      <c r="H190" s="6471" t="s">
        <v>28</v>
      </c>
      <c r="I190" s="6471" t="s">
        <v>991</v>
      </c>
    </row>
    <row customHeight="1" ht="11.25">
      <c r="A191" s="6471" t="s">
        <v>2387</v>
      </c>
      <c r="B191" s="6471" t="s">
        <v>16</v>
      </c>
      <c r="C191" s="6471" t="s">
        <v>2843</v>
      </c>
      <c r="D191" s="6471" t="s">
        <v>49</v>
      </c>
      <c r="E191" s="6471" t="s">
        <v>52</v>
      </c>
      <c r="F191" s="6471" t="s">
        <v>2844</v>
      </c>
      <c r="G191" s="6471" t="s">
        <v>28</v>
      </c>
      <c r="H191" s="6471" t="s">
        <v>28</v>
      </c>
      <c r="I191" s="6471" t="s">
        <v>991</v>
      </c>
    </row>
    <row customHeight="1" ht="11.25">
      <c r="A192" s="6471" t="s">
        <v>2387</v>
      </c>
      <c r="B192" s="6471" t="s">
        <v>16</v>
      </c>
      <c r="C192" s="6471" t="s">
        <v>2845</v>
      </c>
      <c r="D192" s="6471" t="s">
        <v>49</v>
      </c>
      <c r="E192" s="6471" t="s">
        <v>52</v>
      </c>
      <c r="F192" s="6471" t="s">
        <v>2846</v>
      </c>
      <c r="G192" s="6471" t="s">
        <v>28</v>
      </c>
      <c r="H192" s="6471" t="s">
        <v>28</v>
      </c>
      <c r="I192" s="6471" t="s">
        <v>991</v>
      </c>
    </row>
    <row customHeight="1" ht="11.25">
      <c r="A193" s="6471" t="s">
        <v>2387</v>
      </c>
      <c r="B193" s="6471" t="s">
        <v>16</v>
      </c>
      <c r="C193" s="6471" t="s">
        <v>2847</v>
      </c>
      <c r="D193" s="6471" t="s">
        <v>49</v>
      </c>
      <c r="E193" s="6471" t="s">
        <v>52</v>
      </c>
      <c r="F193" s="6471" t="s">
        <v>2848</v>
      </c>
      <c r="G193" s="6471" t="s">
        <v>28</v>
      </c>
      <c r="H193" s="6471" t="s">
        <v>28</v>
      </c>
      <c r="I193" s="6471" t="s">
        <v>991</v>
      </c>
    </row>
    <row customHeight="1" ht="11.25">
      <c r="A194" s="6471" t="s">
        <v>2387</v>
      </c>
      <c r="B194" s="6471" t="s">
        <v>16</v>
      </c>
      <c r="C194" s="6471" t="s">
        <v>2895</v>
      </c>
      <c r="D194" s="6471" t="s">
        <v>49</v>
      </c>
      <c r="E194" s="6471" t="s">
        <v>52</v>
      </c>
      <c r="F194" s="6471" t="s">
        <v>2896</v>
      </c>
      <c r="G194" s="6471" t="s">
        <v>28</v>
      </c>
      <c r="H194" s="6471" t="s">
        <v>28</v>
      </c>
      <c r="I194" s="6471" t="s">
        <v>991</v>
      </c>
    </row>
    <row customHeight="1" ht="11.25">
      <c r="A195" s="6471" t="s">
        <v>2387</v>
      </c>
      <c r="B195" s="6471" t="s">
        <v>16</v>
      </c>
      <c r="C195" s="6471" t="s">
        <v>2849</v>
      </c>
      <c r="D195" s="6471" t="s">
        <v>49</v>
      </c>
      <c r="E195" s="6471" t="s">
        <v>52</v>
      </c>
      <c r="F195" s="6471" t="s">
        <v>2850</v>
      </c>
      <c r="G195" s="6471" t="s">
        <v>28</v>
      </c>
      <c r="H195" s="6471" t="s">
        <v>28</v>
      </c>
      <c r="I195" s="6471" t="s">
        <v>991</v>
      </c>
    </row>
    <row customHeight="1" ht="11.25">
      <c r="A196" s="6471" t="s">
        <v>2387</v>
      </c>
      <c r="B196" s="6471" t="s">
        <v>16</v>
      </c>
      <c r="C196" s="6471" t="s">
        <v>2851</v>
      </c>
      <c r="D196" s="6471" t="s">
        <v>49</v>
      </c>
      <c r="E196" s="6471" t="s">
        <v>52</v>
      </c>
      <c r="F196" s="6471" t="s">
        <v>2852</v>
      </c>
      <c r="G196" s="6471" t="s">
        <v>28</v>
      </c>
      <c r="H196" s="6471" t="s">
        <v>28</v>
      </c>
      <c r="I196" s="6471" t="s">
        <v>991</v>
      </c>
    </row>
    <row customHeight="1" ht="11.25">
      <c r="A197" s="6471" t="s">
        <v>2387</v>
      </c>
      <c r="B197" s="6471" t="s">
        <v>16</v>
      </c>
      <c r="C197" s="6471" t="s">
        <v>2853</v>
      </c>
      <c r="D197" s="6471" t="s">
        <v>49</v>
      </c>
      <c r="E197" s="6471" t="s">
        <v>52</v>
      </c>
      <c r="F197" s="6471" t="s">
        <v>2854</v>
      </c>
      <c r="G197" s="6471" t="s">
        <v>28</v>
      </c>
      <c r="H197" s="6471" t="s">
        <v>28</v>
      </c>
      <c r="I197" s="6471" t="s">
        <v>991</v>
      </c>
    </row>
    <row customHeight="1" ht="11.25">
      <c r="A198" s="6471" t="s">
        <v>2387</v>
      </c>
      <c r="B198" s="6471" t="s">
        <v>16</v>
      </c>
      <c r="C198" s="6471" t="s">
        <v>2855</v>
      </c>
      <c r="D198" s="6471" t="s">
        <v>49</v>
      </c>
      <c r="E198" s="6471" t="s">
        <v>52</v>
      </c>
      <c r="F198" s="6471" t="s">
        <v>2856</v>
      </c>
      <c r="G198" s="6471" t="s">
        <v>28</v>
      </c>
      <c r="H198" s="6471" t="s">
        <v>28</v>
      </c>
      <c r="I198" s="6471" t="s">
        <v>991</v>
      </c>
    </row>
    <row customHeight="1" ht="11.25">
      <c r="A199" s="6471" t="s">
        <v>2387</v>
      </c>
      <c r="B199" s="6471" t="s">
        <v>16</v>
      </c>
      <c r="C199" s="6471" t="s">
        <v>2857</v>
      </c>
      <c r="D199" s="6471" t="s">
        <v>49</v>
      </c>
      <c r="E199" s="6471" t="s">
        <v>52</v>
      </c>
      <c r="F199" s="6471" t="s">
        <v>2858</v>
      </c>
      <c r="G199" s="6471" t="s">
        <v>28</v>
      </c>
      <c r="H199" s="6471" t="s">
        <v>28</v>
      </c>
      <c r="I199" s="6471" t="s">
        <v>991</v>
      </c>
    </row>
    <row customHeight="1" ht="11.25">
      <c r="A200" s="6471" t="s">
        <v>2387</v>
      </c>
      <c r="B200" s="6471" t="s">
        <v>16</v>
      </c>
      <c r="C200" s="6471" t="s">
        <v>13</v>
      </c>
      <c r="D200" s="6471" t="s">
        <v>49</v>
      </c>
      <c r="E200" s="6471" t="s">
        <v>52</v>
      </c>
      <c r="F200" s="6471" t="s">
        <v>54</v>
      </c>
      <c r="G200" s="6471" t="s">
        <v>28</v>
      </c>
      <c r="H200" s="6471" t="s">
        <v>28</v>
      </c>
      <c r="I200" s="6471" t="s">
        <v>991</v>
      </c>
    </row>
    <row customHeight="1" ht="11.25">
      <c r="A201" s="6471" t="s">
        <v>2387</v>
      </c>
      <c r="B201" s="6471" t="s">
        <v>16</v>
      </c>
      <c r="C201" s="6471" t="s">
        <v>2897</v>
      </c>
      <c r="D201" s="6471" t="s">
        <v>2898</v>
      </c>
      <c r="E201" s="6471" t="s">
        <v>2899</v>
      </c>
      <c r="F201" s="6471" t="s">
        <v>2419</v>
      </c>
      <c r="G201" s="6471" t="s">
        <v>28</v>
      </c>
      <c r="H201" s="6471" t="s">
        <v>28</v>
      </c>
      <c r="I201" s="6471" t="s">
        <v>991</v>
      </c>
    </row>
    <row customHeight="1" ht="11.25">
      <c r="A202" s="6471" t="s">
        <v>2387</v>
      </c>
      <c r="B202" s="6471" t="s">
        <v>16</v>
      </c>
      <c r="C202" s="6471" t="s">
        <v>2900</v>
      </c>
      <c r="D202" s="6471" t="s">
        <v>2898</v>
      </c>
      <c r="E202" s="6471" t="s">
        <v>2899</v>
      </c>
      <c r="F202" s="6471" t="s">
        <v>2901</v>
      </c>
      <c r="G202" s="6471" t="s">
        <v>28</v>
      </c>
      <c r="H202" s="6471" t="s">
        <v>28</v>
      </c>
      <c r="I202" s="6471" t="s">
        <v>991</v>
      </c>
    </row>
    <row customHeight="1" ht="11.25">
      <c r="A203" s="6471" t="s">
        <v>2387</v>
      </c>
      <c r="B203" s="6471" t="s">
        <v>16</v>
      </c>
      <c r="C203" s="6471" t="s">
        <v>2902</v>
      </c>
      <c r="D203" s="6471" t="s">
        <v>2860</v>
      </c>
      <c r="E203" s="6471" t="s">
        <v>52</v>
      </c>
      <c r="F203" s="6471" t="s">
        <v>2903</v>
      </c>
      <c r="G203" s="6471" t="s">
        <v>28</v>
      </c>
      <c r="H203" s="6471" t="s">
        <v>28</v>
      </c>
      <c r="I203" s="6471" t="s">
        <v>991</v>
      </c>
    </row>
    <row customHeight="1" ht="11.25">
      <c r="A204" s="6471" t="s">
        <v>2387</v>
      </c>
      <c r="B204" s="6471" t="s">
        <v>16</v>
      </c>
      <c r="C204" s="6471" t="s">
        <v>2859</v>
      </c>
      <c r="D204" s="6471" t="s">
        <v>2860</v>
      </c>
      <c r="E204" s="6471" t="s">
        <v>52</v>
      </c>
      <c r="F204" s="6471" t="s">
        <v>2861</v>
      </c>
      <c r="G204" s="6471" t="s">
        <v>28</v>
      </c>
      <c r="H204" s="6471" t="s">
        <v>28</v>
      </c>
      <c r="I204" s="6471" t="s">
        <v>991</v>
      </c>
    </row>
    <row customHeight="1" ht="11.25">
      <c r="A205" s="6471" t="s">
        <v>2387</v>
      </c>
      <c r="B205" s="6471" t="s">
        <v>16</v>
      </c>
      <c r="C205" s="6471" t="s">
        <v>2904</v>
      </c>
      <c r="D205" s="6471" t="s">
        <v>2905</v>
      </c>
      <c r="E205" s="6471" t="s">
        <v>2906</v>
      </c>
      <c r="F205" s="6471" t="s">
        <v>2431</v>
      </c>
      <c r="G205" s="6471" t="s">
        <v>28</v>
      </c>
      <c r="H205" s="6471" t="s">
        <v>28</v>
      </c>
      <c r="I205" s="6471" t="s">
        <v>991</v>
      </c>
    </row>
    <row customHeight="1" ht="11.25">
      <c r="A206" s="6471" t="s">
        <v>2387</v>
      </c>
      <c r="B206" s="6471" t="s">
        <v>16</v>
      </c>
      <c r="C206" s="6471" t="s">
        <v>2907</v>
      </c>
      <c r="D206" s="6471" t="s">
        <v>2908</v>
      </c>
      <c r="E206" s="6471" t="s">
        <v>2909</v>
      </c>
      <c r="F206" s="6471" t="s">
        <v>2628</v>
      </c>
      <c r="G206" s="6471" t="s">
        <v>28</v>
      </c>
      <c r="H206" s="6471" t="s">
        <v>28</v>
      </c>
      <c r="I206" s="6471" t="s">
        <v>991</v>
      </c>
    </row>
    <row customHeight="1" ht="11.25">
      <c r="A207" s="6471" t="s">
        <v>2387</v>
      </c>
      <c r="B207" s="6471" t="s">
        <v>16</v>
      </c>
      <c r="C207" s="6471" t="s">
        <v>2910</v>
      </c>
      <c r="D207" s="6471" t="s">
        <v>2911</v>
      </c>
      <c r="E207" s="6471" t="s">
        <v>2912</v>
      </c>
      <c r="F207" s="6471" t="s">
        <v>2754</v>
      </c>
      <c r="G207" s="6471" t="s">
        <v>28</v>
      </c>
      <c r="H207" s="6471" t="s">
        <v>28</v>
      </c>
      <c r="I207" s="6471" t="s">
        <v>991</v>
      </c>
    </row>
    <row customHeight="1" ht="11.25">
      <c r="A208" s="6471" t="s">
        <v>2387</v>
      </c>
      <c r="B208" s="6471" t="s">
        <v>16</v>
      </c>
      <c r="C208" s="6471" t="s">
        <v>2913</v>
      </c>
      <c r="D208" s="6471" t="s">
        <v>2914</v>
      </c>
      <c r="E208" s="6471" t="s">
        <v>2915</v>
      </c>
      <c r="F208" s="6471" t="s">
        <v>2452</v>
      </c>
      <c r="G208" s="6471" t="s">
        <v>28</v>
      </c>
      <c r="H208" s="6471" t="s">
        <v>28</v>
      </c>
      <c r="I208" s="6471" t="s">
        <v>991</v>
      </c>
    </row>
    <row customHeight="1" ht="11.25">
      <c r="A209" s="6471" t="s">
        <v>2387</v>
      </c>
      <c r="B209" s="6471" t="s">
        <v>16</v>
      </c>
      <c r="C209" s="6471" t="s">
        <v>2916</v>
      </c>
      <c r="D209" s="6471" t="s">
        <v>2917</v>
      </c>
      <c r="E209" s="6471" t="s">
        <v>2918</v>
      </c>
      <c r="F209" s="6471" t="s">
        <v>2548</v>
      </c>
      <c r="G209" s="6471" t="s">
        <v>28</v>
      </c>
      <c r="H209" s="6471" t="s">
        <v>28</v>
      </c>
      <c r="I209" s="6471" t="s">
        <v>991</v>
      </c>
    </row>
    <row customHeight="1" ht="11.25">
      <c r="A210" s="6471" t="s">
        <v>2387</v>
      </c>
      <c r="B210" s="6471" t="s">
        <v>16</v>
      </c>
      <c r="C210" s="6471" t="s">
        <v>2919</v>
      </c>
      <c r="D210" s="6471" t="s">
        <v>2920</v>
      </c>
      <c r="E210" s="6471" t="s">
        <v>2921</v>
      </c>
      <c r="F210" s="6471" t="s">
        <v>2922</v>
      </c>
      <c r="G210" s="6471" t="s">
        <v>28</v>
      </c>
      <c r="H210" s="6471" t="s">
        <v>28</v>
      </c>
      <c r="I210" s="6471" t="s">
        <v>991</v>
      </c>
    </row>
    <row customHeight="1" ht="11.25">
      <c r="A211" s="6471" t="s">
        <v>2387</v>
      </c>
      <c r="B211" s="6471" t="s">
        <v>16</v>
      </c>
      <c r="C211" s="6471" t="s">
        <v>2923</v>
      </c>
      <c r="D211" s="6471" t="s">
        <v>2924</v>
      </c>
      <c r="E211" s="6471" t="s">
        <v>2925</v>
      </c>
      <c r="F211" s="6471" t="s">
        <v>2452</v>
      </c>
      <c r="G211" s="6471" t="s">
        <v>28</v>
      </c>
      <c r="H211" s="6471" t="s">
        <v>28</v>
      </c>
      <c r="I211" s="6471" t="s">
        <v>991</v>
      </c>
    </row>
    <row customHeight="1" ht="11.25">
      <c r="A212" s="6471" t="s">
        <v>2387</v>
      </c>
      <c r="B212" s="6471" t="s">
        <v>16</v>
      </c>
      <c r="C212" s="6471" t="s">
        <v>2545</v>
      </c>
      <c r="D212" s="6471" t="s">
        <v>2546</v>
      </c>
      <c r="E212" s="6471" t="s">
        <v>2547</v>
      </c>
      <c r="F212" s="6471" t="s">
        <v>2548</v>
      </c>
      <c r="G212" s="6471" t="s">
        <v>28</v>
      </c>
      <c r="H212" s="6471" t="s">
        <v>28</v>
      </c>
      <c r="I212" s="6471" t="s">
        <v>991</v>
      </c>
    </row>
    <row customHeight="1" ht="11.25">
      <c r="A213" s="6471" t="s">
        <v>2387</v>
      </c>
      <c r="B213" s="6471" t="s">
        <v>16</v>
      </c>
      <c r="C213" s="6471" t="s">
        <v>2926</v>
      </c>
      <c r="D213" s="6471" t="s">
        <v>2927</v>
      </c>
      <c r="E213" s="6471" t="s">
        <v>2928</v>
      </c>
      <c r="F213" s="6471" t="s">
        <v>2565</v>
      </c>
      <c r="G213" s="6471" t="s">
        <v>2929</v>
      </c>
      <c r="H213" s="6471" t="s">
        <v>28</v>
      </c>
      <c r="I213" s="6471" t="s">
        <v>991</v>
      </c>
    </row>
    <row customHeight="1" ht="11.25">
      <c r="A214" s="6471" t="s">
        <v>2387</v>
      </c>
      <c r="B214" s="6471" t="s">
        <v>16</v>
      </c>
      <c r="C214" s="6471" t="s">
        <v>2930</v>
      </c>
      <c r="D214" s="6471" t="s">
        <v>2931</v>
      </c>
      <c r="E214" s="6471" t="s">
        <v>2932</v>
      </c>
      <c r="F214" s="6471" t="s">
        <v>2933</v>
      </c>
      <c r="G214" s="6471" t="s">
        <v>28</v>
      </c>
      <c r="H214" s="6471" t="s">
        <v>28</v>
      </c>
      <c r="I214" s="6471" t="s">
        <v>991</v>
      </c>
    </row>
    <row customHeight="1" ht="11.25">
      <c r="A215" s="6471" t="s">
        <v>2387</v>
      </c>
      <c r="B215" s="6471" t="s">
        <v>16</v>
      </c>
      <c r="C215" s="6471" t="s">
        <v>2934</v>
      </c>
      <c r="D215" s="6471" t="s">
        <v>2935</v>
      </c>
      <c r="E215" s="6471" t="s">
        <v>2936</v>
      </c>
      <c r="F215" s="6471" t="s">
        <v>2565</v>
      </c>
      <c r="G215" s="6471" t="s">
        <v>28</v>
      </c>
      <c r="H215" s="6471" t="s">
        <v>2937</v>
      </c>
      <c r="I215" s="6471" t="s">
        <v>991</v>
      </c>
    </row>
    <row customHeight="1" ht="11.25">
      <c r="A216" s="6471" t="s">
        <v>2387</v>
      </c>
      <c r="B216" s="6471" t="s">
        <v>16</v>
      </c>
      <c r="C216" s="6471" t="s">
        <v>2938</v>
      </c>
      <c r="D216" s="6471" t="s">
        <v>2939</v>
      </c>
      <c r="E216" s="6471" t="s">
        <v>2940</v>
      </c>
      <c r="F216" s="6471" t="s">
        <v>2431</v>
      </c>
      <c r="G216" s="6471" t="s">
        <v>2941</v>
      </c>
      <c r="H216" s="6471" t="s">
        <v>28</v>
      </c>
      <c r="I216" s="6471" t="s">
        <v>991</v>
      </c>
    </row>
    <row customHeight="1" ht="11.25">
      <c r="A217" s="6471" t="s">
        <v>2387</v>
      </c>
      <c r="B217" s="6471" t="s">
        <v>16</v>
      </c>
      <c r="C217" s="6471" t="s">
        <v>2942</v>
      </c>
      <c r="D217" s="6471" t="s">
        <v>2943</v>
      </c>
      <c r="E217" s="6471" t="s">
        <v>2944</v>
      </c>
      <c r="F217" s="6471" t="s">
        <v>2431</v>
      </c>
      <c r="G217" s="6471" t="s">
        <v>2945</v>
      </c>
      <c r="H217" s="6471" t="s">
        <v>28</v>
      </c>
      <c r="I217" s="6471" t="s">
        <v>991</v>
      </c>
    </row>
    <row customHeight="1" ht="11.25">
      <c r="A218" s="6471" t="s">
        <v>2387</v>
      </c>
      <c r="B218" s="6471" t="s">
        <v>16</v>
      </c>
      <c r="C218" s="6471" t="s">
        <v>2552</v>
      </c>
      <c r="D218" s="6471" t="s">
        <v>2553</v>
      </c>
      <c r="E218" s="6471" t="s">
        <v>2554</v>
      </c>
      <c r="F218" s="6471" t="s">
        <v>2555</v>
      </c>
      <c r="G218" s="6471" t="s">
        <v>28</v>
      </c>
      <c r="H218" s="6471" t="s">
        <v>28</v>
      </c>
      <c r="I218" s="6471" t="s">
        <v>991</v>
      </c>
    </row>
    <row customHeight="1" ht="11.25">
      <c r="A219" s="6471" t="s">
        <v>2387</v>
      </c>
      <c r="B219" s="6471" t="s">
        <v>16</v>
      </c>
      <c r="C219" s="6471" t="s">
        <v>2556</v>
      </c>
      <c r="D219" s="6471" t="s">
        <v>2557</v>
      </c>
      <c r="E219" s="6471" t="s">
        <v>2558</v>
      </c>
      <c r="F219" s="6471" t="s">
        <v>2427</v>
      </c>
      <c r="G219" s="6471" t="s">
        <v>28</v>
      </c>
      <c r="H219" s="6471" t="s">
        <v>28</v>
      </c>
      <c r="I219" s="6471" t="s">
        <v>991</v>
      </c>
    </row>
    <row customHeight="1" ht="11.25">
      <c r="A220" s="6471" t="s">
        <v>2387</v>
      </c>
      <c r="B220" s="6471" t="s">
        <v>16</v>
      </c>
      <c r="C220" s="6471" t="s">
        <v>2559</v>
      </c>
      <c r="D220" s="6471" t="s">
        <v>2560</v>
      </c>
      <c r="E220" s="6471" t="s">
        <v>2561</v>
      </c>
      <c r="F220" s="6471" t="s">
        <v>2427</v>
      </c>
      <c r="G220" s="6471" t="s">
        <v>28</v>
      </c>
      <c r="H220" s="6471" t="s">
        <v>28</v>
      </c>
      <c r="I220" s="6471" t="s">
        <v>991</v>
      </c>
    </row>
    <row customHeight="1" ht="11.25">
      <c r="A221" s="6471" t="s">
        <v>2387</v>
      </c>
      <c r="B221" s="6471" t="s">
        <v>16</v>
      </c>
      <c r="C221" s="6471" t="s">
        <v>2562</v>
      </c>
      <c r="D221" s="6471" t="s">
        <v>2563</v>
      </c>
      <c r="E221" s="6471" t="s">
        <v>2564</v>
      </c>
      <c r="F221" s="6471" t="s">
        <v>2565</v>
      </c>
      <c r="G221" s="6471" t="s">
        <v>28</v>
      </c>
      <c r="H221" s="6471" t="s">
        <v>28</v>
      </c>
      <c r="I221" s="6471" t="s">
        <v>991</v>
      </c>
    </row>
    <row customHeight="1" ht="11.25">
      <c r="A222" s="6471" t="s">
        <v>2387</v>
      </c>
      <c r="B222" s="6471" t="s">
        <v>16</v>
      </c>
      <c r="C222" s="6471" t="s">
        <v>2946</v>
      </c>
      <c r="D222" s="6471" t="s">
        <v>2947</v>
      </c>
      <c r="E222" s="6471" t="s">
        <v>2948</v>
      </c>
      <c r="F222" s="6471" t="s">
        <v>2497</v>
      </c>
      <c r="G222" s="6471" t="s">
        <v>28</v>
      </c>
      <c r="H222" s="6471" t="s">
        <v>28</v>
      </c>
      <c r="I222" s="6471" t="s">
        <v>991</v>
      </c>
    </row>
    <row customHeight="1" ht="11.25">
      <c r="A223" s="6471" t="s">
        <v>2387</v>
      </c>
      <c r="B223" s="6471" t="s">
        <v>16</v>
      </c>
      <c r="C223" s="6471" t="s">
        <v>2949</v>
      </c>
      <c r="D223" s="6471" t="s">
        <v>2950</v>
      </c>
      <c r="E223" s="6471" t="s">
        <v>2951</v>
      </c>
      <c r="F223" s="6471" t="s">
        <v>2460</v>
      </c>
      <c r="G223" s="6471" t="s">
        <v>2952</v>
      </c>
      <c r="H223" s="6471" t="s">
        <v>28</v>
      </c>
      <c r="I223" s="6471" t="s">
        <v>991</v>
      </c>
    </row>
    <row customHeight="1" ht="11.25">
      <c r="A224" s="6471" t="s">
        <v>2387</v>
      </c>
      <c r="B224" s="6471" t="s">
        <v>16</v>
      </c>
      <c r="C224" s="6471" t="s">
        <v>2953</v>
      </c>
      <c r="D224" s="6471" t="s">
        <v>2954</v>
      </c>
      <c r="E224" s="6471" t="s">
        <v>2955</v>
      </c>
      <c r="F224" s="6471" t="s">
        <v>2523</v>
      </c>
      <c r="G224" s="6471" t="s">
        <v>2956</v>
      </c>
      <c r="H224" s="6471" t="s">
        <v>28</v>
      </c>
      <c r="I224" s="6471" t="s">
        <v>991</v>
      </c>
    </row>
    <row customHeight="1" ht="11.25">
      <c r="A225" s="6471" t="s">
        <v>2387</v>
      </c>
      <c r="B225" s="6471" t="s">
        <v>16</v>
      </c>
      <c r="C225" s="6471" t="s">
        <v>2566</v>
      </c>
      <c r="D225" s="6471" t="s">
        <v>2567</v>
      </c>
      <c r="E225" s="6471" t="s">
        <v>2568</v>
      </c>
      <c r="F225" s="6471" t="s">
        <v>2431</v>
      </c>
      <c r="G225" s="6471" t="s">
        <v>28</v>
      </c>
      <c r="H225" s="6471" t="s">
        <v>28</v>
      </c>
      <c r="I225" s="6471" t="s">
        <v>991</v>
      </c>
    </row>
    <row customHeight="1" ht="11.25">
      <c r="A226" s="6471" t="s">
        <v>2387</v>
      </c>
      <c r="B226" s="6471" t="s">
        <v>16</v>
      </c>
      <c r="C226" s="6471" t="s">
        <v>2957</v>
      </c>
      <c r="D226" s="6471" t="s">
        <v>2958</v>
      </c>
      <c r="E226" s="6471" t="s">
        <v>2959</v>
      </c>
      <c r="F226" s="6471" t="s">
        <v>2922</v>
      </c>
      <c r="G226" s="6471" t="s">
        <v>28</v>
      </c>
      <c r="H226" s="6471" t="s">
        <v>28</v>
      </c>
      <c r="I226" s="6471" t="s">
        <v>991</v>
      </c>
    </row>
    <row customHeight="1" ht="11.25">
      <c r="A227" s="6471" t="s">
        <v>2387</v>
      </c>
      <c r="B227" s="6471" t="s">
        <v>16</v>
      </c>
      <c r="C227" s="6471" t="s">
        <v>2569</v>
      </c>
      <c r="D227" s="6471" t="s">
        <v>2570</v>
      </c>
      <c r="E227" s="6471" t="s">
        <v>2571</v>
      </c>
      <c r="F227" s="6471" t="s">
        <v>2555</v>
      </c>
      <c r="G227" s="6471" t="s">
        <v>28</v>
      </c>
      <c r="H227" s="6471" t="s">
        <v>28</v>
      </c>
      <c r="I227" s="6471" t="s">
        <v>991</v>
      </c>
    </row>
    <row customHeight="1" ht="11.25">
      <c r="A228" s="6471" t="s">
        <v>2387</v>
      </c>
      <c r="B228" s="6471" t="s">
        <v>16</v>
      </c>
      <c r="C228" s="6471" t="s">
        <v>2960</v>
      </c>
      <c r="D228" s="6471" t="s">
        <v>2961</v>
      </c>
      <c r="E228" s="6471" t="s">
        <v>2962</v>
      </c>
      <c r="F228" s="6471" t="s">
        <v>2460</v>
      </c>
      <c r="G228" s="6471" t="s">
        <v>28</v>
      </c>
      <c r="H228" s="6471" t="s">
        <v>28</v>
      </c>
      <c r="I228" s="6471" t="s">
        <v>991</v>
      </c>
    </row>
    <row customHeight="1" ht="11.25">
      <c r="A229" s="6471" t="s">
        <v>2387</v>
      </c>
      <c r="B229" s="6471" t="s">
        <v>16</v>
      </c>
      <c r="C229" s="6471" t="s">
        <v>2963</v>
      </c>
      <c r="D229" s="6471" t="s">
        <v>2964</v>
      </c>
      <c r="E229" s="6471" t="s">
        <v>2965</v>
      </c>
      <c r="F229" s="6471" t="s">
        <v>2836</v>
      </c>
      <c r="G229" s="6471" t="s">
        <v>28</v>
      </c>
      <c r="H229" s="6471" t="s">
        <v>28</v>
      </c>
      <c r="I229" s="6471" t="s">
        <v>991</v>
      </c>
    </row>
    <row customHeight="1" ht="11.25">
      <c r="A230" s="6471" t="s">
        <v>2387</v>
      </c>
      <c r="B230" s="6471" t="s">
        <v>16</v>
      </c>
      <c r="C230" s="6471" t="s">
        <v>2966</v>
      </c>
      <c r="D230" s="6471" t="s">
        <v>2967</v>
      </c>
      <c r="E230" s="6471" t="s">
        <v>2968</v>
      </c>
      <c r="F230" s="6471" t="s">
        <v>2394</v>
      </c>
      <c r="G230" s="6471" t="s">
        <v>28</v>
      </c>
      <c r="H230" s="6471" t="s">
        <v>28</v>
      </c>
      <c r="I230" s="6471" t="s">
        <v>991</v>
      </c>
    </row>
    <row customHeight="1" ht="11.25">
      <c r="A231" s="6471" t="s">
        <v>2387</v>
      </c>
      <c r="B231" s="6471" t="s">
        <v>16</v>
      </c>
      <c r="C231" s="6471" t="s">
        <v>2572</v>
      </c>
      <c r="D231" s="6471" t="s">
        <v>2573</v>
      </c>
      <c r="E231" s="6471" t="s">
        <v>2574</v>
      </c>
      <c r="F231" s="6471" t="s">
        <v>2511</v>
      </c>
      <c r="G231" s="6471" t="s">
        <v>28</v>
      </c>
      <c r="H231" s="6471" t="s">
        <v>28</v>
      </c>
      <c r="I231" s="6471" t="s">
        <v>991</v>
      </c>
    </row>
    <row customHeight="1" ht="11.25">
      <c r="A232" s="6471" t="s">
        <v>2387</v>
      </c>
      <c r="B232" s="6471" t="s">
        <v>16</v>
      </c>
      <c r="C232" s="6471" t="s">
        <v>2969</v>
      </c>
      <c r="D232" s="6471" t="s">
        <v>2970</v>
      </c>
      <c r="E232" s="6471" t="s">
        <v>2971</v>
      </c>
      <c r="F232" s="6471" t="s">
        <v>2836</v>
      </c>
      <c r="G232" s="6471" t="s">
        <v>28</v>
      </c>
      <c r="H232" s="6471" t="s">
        <v>28</v>
      </c>
      <c r="I232" s="6471" t="s">
        <v>991</v>
      </c>
    </row>
    <row customHeight="1" ht="11.25">
      <c r="A233" s="6471" t="s">
        <v>2387</v>
      </c>
      <c r="B233" s="6471" t="s">
        <v>16</v>
      </c>
      <c r="C233" s="6471" t="s">
        <v>2575</v>
      </c>
      <c r="D233" s="6471" t="s">
        <v>2576</v>
      </c>
      <c r="E233" s="6471" t="s">
        <v>2577</v>
      </c>
      <c r="F233" s="6471" t="s">
        <v>54</v>
      </c>
      <c r="G233" s="6471" t="s">
        <v>28</v>
      </c>
      <c r="H233" s="6471" t="s">
        <v>28</v>
      </c>
      <c r="I233" s="6471" t="s">
        <v>991</v>
      </c>
    </row>
    <row customHeight="1" ht="11.25">
      <c r="A234" s="6471" t="s">
        <v>2387</v>
      </c>
      <c r="B234" s="6471" t="s">
        <v>16</v>
      </c>
      <c r="C234" s="6471" t="s">
        <v>2585</v>
      </c>
      <c r="D234" s="6471" t="s">
        <v>2586</v>
      </c>
      <c r="E234" s="6471" t="s">
        <v>2587</v>
      </c>
      <c r="F234" s="6471" t="s">
        <v>2588</v>
      </c>
      <c r="G234" s="6471" t="s">
        <v>28</v>
      </c>
      <c r="H234" s="6471" t="s">
        <v>28</v>
      </c>
      <c r="I234" s="6471" t="s">
        <v>991</v>
      </c>
    </row>
    <row customHeight="1" ht="11.25">
      <c r="A235" s="6471" t="s">
        <v>2387</v>
      </c>
      <c r="B235" s="6471" t="s">
        <v>16</v>
      </c>
      <c r="C235" s="6471" t="s">
        <v>2972</v>
      </c>
      <c r="D235" s="6471" t="s">
        <v>2973</v>
      </c>
      <c r="E235" s="6471" t="s">
        <v>2405</v>
      </c>
      <c r="F235" s="6471" t="s">
        <v>2974</v>
      </c>
      <c r="G235" s="6471" t="s">
        <v>28</v>
      </c>
      <c r="H235" s="6471" t="s">
        <v>28</v>
      </c>
      <c r="I235" s="6471" t="s">
        <v>991</v>
      </c>
    </row>
    <row customHeight="1" ht="11.25">
      <c r="A236" s="6471" t="s">
        <v>2387</v>
      </c>
      <c r="B236" s="6471" t="s">
        <v>16</v>
      </c>
      <c r="C236" s="6471" t="s">
        <v>2975</v>
      </c>
      <c r="D236" s="6471" t="s">
        <v>2976</v>
      </c>
      <c r="E236" s="6471" t="s">
        <v>2977</v>
      </c>
      <c r="F236" s="6471" t="s">
        <v>2394</v>
      </c>
      <c r="G236" s="6471" t="s">
        <v>28</v>
      </c>
      <c r="H236" s="6471" t="s">
        <v>28</v>
      </c>
      <c r="I236" s="6471" t="s">
        <v>991</v>
      </c>
    </row>
    <row customHeight="1" ht="11.25">
      <c r="A237" s="6471" t="s">
        <v>2387</v>
      </c>
      <c r="B237" s="6471" t="s">
        <v>16</v>
      </c>
      <c r="C237" s="6471" t="s">
        <v>2606</v>
      </c>
      <c r="D237" s="6471" t="s">
        <v>2607</v>
      </c>
      <c r="E237" s="6471" t="s">
        <v>2608</v>
      </c>
      <c r="F237" s="6471" t="s">
        <v>2427</v>
      </c>
      <c r="G237" s="6471" t="s">
        <v>28</v>
      </c>
      <c r="H237" s="6471" t="s">
        <v>28</v>
      </c>
      <c r="I237" s="6471" t="s">
        <v>991</v>
      </c>
    </row>
    <row customHeight="1" ht="11.25">
      <c r="A238" s="6471" t="s">
        <v>2387</v>
      </c>
      <c r="B238" s="6471" t="s">
        <v>16</v>
      </c>
      <c r="C238" s="6471" t="s">
        <v>2978</v>
      </c>
      <c r="D238" s="6471" t="s">
        <v>2979</v>
      </c>
      <c r="E238" s="6471" t="s">
        <v>2980</v>
      </c>
      <c r="F238" s="6471" t="s">
        <v>2431</v>
      </c>
      <c r="G238" s="6471" t="s">
        <v>2981</v>
      </c>
      <c r="H238" s="6471" t="s">
        <v>28</v>
      </c>
      <c r="I238" s="6471" t="s">
        <v>991</v>
      </c>
    </row>
    <row customHeight="1" ht="11.25">
      <c r="A239" s="6471" t="s">
        <v>2387</v>
      </c>
      <c r="B239" s="6471" t="s">
        <v>16</v>
      </c>
      <c r="C239" s="6471" t="s">
        <v>2982</v>
      </c>
      <c r="D239" s="6471" t="s">
        <v>2983</v>
      </c>
      <c r="E239" s="6471" t="s">
        <v>2984</v>
      </c>
      <c r="F239" s="6471" t="s">
        <v>2443</v>
      </c>
      <c r="G239" s="6471" t="s">
        <v>2985</v>
      </c>
      <c r="H239" s="6471" t="s">
        <v>28</v>
      </c>
      <c r="I239" s="6471" t="s">
        <v>991</v>
      </c>
    </row>
    <row customHeight="1" ht="11.25">
      <c r="A240" s="6471" t="s">
        <v>2387</v>
      </c>
      <c r="B240" s="6471" t="s">
        <v>16</v>
      </c>
      <c r="C240" s="6471" t="s">
        <v>2986</v>
      </c>
      <c r="D240" s="6471" t="s">
        <v>2987</v>
      </c>
      <c r="E240" s="6471" t="s">
        <v>2988</v>
      </c>
      <c r="F240" s="6471" t="s">
        <v>2725</v>
      </c>
      <c r="G240" s="6471" t="s">
        <v>2989</v>
      </c>
      <c r="H240" s="6471" t="s">
        <v>28</v>
      </c>
      <c r="I240" s="6471" t="s">
        <v>991</v>
      </c>
    </row>
    <row customHeight="1" ht="11.25">
      <c r="A241" s="6471" t="s">
        <v>2387</v>
      </c>
      <c r="B241" s="6471" t="s">
        <v>16</v>
      </c>
      <c r="C241" s="6471" t="s">
        <v>2990</v>
      </c>
      <c r="D241" s="6471" t="s">
        <v>2991</v>
      </c>
      <c r="E241" s="6471" t="s">
        <v>2992</v>
      </c>
      <c r="F241" s="6471" t="s">
        <v>2993</v>
      </c>
      <c r="G241" s="6471" t="s">
        <v>28</v>
      </c>
      <c r="H241" s="6471" t="s">
        <v>28</v>
      </c>
      <c r="I241" s="6471" t="s">
        <v>991</v>
      </c>
    </row>
    <row customHeight="1" ht="11.25">
      <c r="A242" s="6471" t="s">
        <v>2387</v>
      </c>
      <c r="B242" s="6471" t="s">
        <v>16</v>
      </c>
      <c r="C242" s="6471" t="s">
        <v>2994</v>
      </c>
      <c r="D242" s="6471" t="s">
        <v>2995</v>
      </c>
      <c r="E242" s="6471" t="s">
        <v>2996</v>
      </c>
      <c r="F242" s="6471" t="s">
        <v>2398</v>
      </c>
      <c r="G242" s="6471" t="s">
        <v>2997</v>
      </c>
      <c r="H242" s="6471" t="s">
        <v>28</v>
      </c>
      <c r="I242" s="6471" t="s">
        <v>991</v>
      </c>
    </row>
    <row customHeight="1" ht="11.25">
      <c r="A243" s="6471" t="s">
        <v>2387</v>
      </c>
      <c r="B243" s="6471" t="s">
        <v>16</v>
      </c>
      <c r="C243" s="6471" t="s">
        <v>2998</v>
      </c>
      <c r="D243" s="6471" t="s">
        <v>2999</v>
      </c>
      <c r="E243" s="6471" t="s">
        <v>3000</v>
      </c>
      <c r="F243" s="6471" t="s">
        <v>2419</v>
      </c>
      <c r="G243" s="6471" t="s">
        <v>28</v>
      </c>
      <c r="H243" s="6471" t="s">
        <v>28</v>
      </c>
      <c r="I243" s="6471" t="s">
        <v>991</v>
      </c>
    </row>
    <row customHeight="1" ht="11.25">
      <c r="A244" s="6471" t="s">
        <v>2387</v>
      </c>
      <c r="B244" s="6471" t="s">
        <v>16</v>
      </c>
      <c r="C244" s="6471" t="s">
        <v>3001</v>
      </c>
      <c r="D244" s="6471" t="s">
        <v>3002</v>
      </c>
      <c r="E244" s="6471" t="s">
        <v>3003</v>
      </c>
      <c r="F244" s="6471" t="s">
        <v>3004</v>
      </c>
      <c r="G244" s="6471" t="s">
        <v>28</v>
      </c>
      <c r="H244" s="6471" t="s">
        <v>28</v>
      </c>
      <c r="I244" s="6471" t="s">
        <v>991</v>
      </c>
    </row>
    <row customHeight="1" ht="11.25">
      <c r="A245" s="6471" t="s">
        <v>2387</v>
      </c>
      <c r="B245" s="6471" t="s">
        <v>16</v>
      </c>
      <c r="C245" s="6471" t="s">
        <v>3005</v>
      </c>
      <c r="D245" s="6471" t="s">
        <v>3006</v>
      </c>
      <c r="E245" s="6471" t="s">
        <v>3007</v>
      </c>
      <c r="F245" s="6471" t="s">
        <v>2810</v>
      </c>
      <c r="G245" s="6471" t="s">
        <v>28</v>
      </c>
      <c r="H245" s="6471" t="s">
        <v>28</v>
      </c>
      <c r="I245" s="6471" t="s">
        <v>991</v>
      </c>
    </row>
    <row customHeight="1" ht="11.25">
      <c r="A246" s="6471" t="s">
        <v>2387</v>
      </c>
      <c r="B246" s="6471" t="s">
        <v>16</v>
      </c>
      <c r="C246" s="6471" t="s">
        <v>3008</v>
      </c>
      <c r="D246" s="6471" t="s">
        <v>3009</v>
      </c>
      <c r="E246" s="6471" t="s">
        <v>3010</v>
      </c>
      <c r="F246" s="6471" t="s">
        <v>2836</v>
      </c>
      <c r="G246" s="6471" t="s">
        <v>3011</v>
      </c>
      <c r="H246" s="6471" t="s">
        <v>28</v>
      </c>
      <c r="I246" s="6471" t="s">
        <v>991</v>
      </c>
    </row>
    <row customHeight="1" ht="11.25">
      <c r="A247" s="6471" t="s">
        <v>2387</v>
      </c>
      <c r="B247" s="6471" t="s">
        <v>16</v>
      </c>
      <c r="C247" s="6471" t="s">
        <v>2625</v>
      </c>
      <c r="D247" s="6471" t="s">
        <v>2626</v>
      </c>
      <c r="E247" s="6471" t="s">
        <v>2627</v>
      </c>
      <c r="F247" s="6471" t="s">
        <v>2628</v>
      </c>
      <c r="G247" s="6471" t="s">
        <v>2629</v>
      </c>
      <c r="H247" s="6471" t="s">
        <v>28</v>
      </c>
      <c r="I247" s="6471" t="s">
        <v>991</v>
      </c>
    </row>
    <row customHeight="1" ht="11.25">
      <c r="A248" s="6471" t="s">
        <v>2387</v>
      </c>
      <c r="B248" s="6471" t="s">
        <v>16</v>
      </c>
      <c r="C248" s="6471" t="s">
        <v>3012</v>
      </c>
      <c r="D248" s="6471" t="s">
        <v>3013</v>
      </c>
      <c r="E248" s="6471" t="s">
        <v>3014</v>
      </c>
      <c r="F248" s="6471" t="s">
        <v>2431</v>
      </c>
      <c r="G248" s="6471" t="s">
        <v>28</v>
      </c>
      <c r="H248" s="6471" t="s">
        <v>28</v>
      </c>
      <c r="I248" s="6471" t="s">
        <v>991</v>
      </c>
    </row>
    <row customHeight="1" ht="11.25">
      <c r="A249" s="6471" t="s">
        <v>2387</v>
      </c>
      <c r="B249" s="6471" t="s">
        <v>16</v>
      </c>
      <c r="C249" s="6471" t="s">
        <v>3015</v>
      </c>
      <c r="D249" s="6471" t="s">
        <v>3016</v>
      </c>
      <c r="E249" s="6471" t="s">
        <v>3017</v>
      </c>
      <c r="F249" s="6471" t="s">
        <v>2628</v>
      </c>
      <c r="G249" s="6471" t="s">
        <v>28</v>
      </c>
      <c r="H249" s="6471" t="s">
        <v>28</v>
      </c>
      <c r="I249" s="6471" t="s">
        <v>991</v>
      </c>
    </row>
    <row customHeight="1" ht="11.25">
      <c r="A250" s="6471" t="s">
        <v>2387</v>
      </c>
      <c r="B250" s="6471" t="s">
        <v>16</v>
      </c>
      <c r="C250" s="6471" t="s">
        <v>3018</v>
      </c>
      <c r="D250" s="6471" t="s">
        <v>3019</v>
      </c>
      <c r="E250" s="6471" t="s">
        <v>3020</v>
      </c>
      <c r="F250" s="6471" t="s">
        <v>2390</v>
      </c>
      <c r="G250" s="6471" t="s">
        <v>28</v>
      </c>
      <c r="H250" s="6471" t="s">
        <v>28</v>
      </c>
      <c r="I250" s="6471" t="s">
        <v>991</v>
      </c>
    </row>
    <row customHeight="1" ht="11.25">
      <c r="A251" s="6471" t="s">
        <v>2387</v>
      </c>
      <c r="B251" s="6471" t="s">
        <v>16</v>
      </c>
      <c r="C251" s="6471" t="s">
        <v>2638</v>
      </c>
      <c r="D251" s="6471" t="s">
        <v>2639</v>
      </c>
      <c r="E251" s="6471" t="s">
        <v>2640</v>
      </c>
      <c r="F251" s="6471" t="s">
        <v>2641</v>
      </c>
      <c r="G251" s="6471" t="s">
        <v>28</v>
      </c>
      <c r="H251" s="6471" t="s">
        <v>28</v>
      </c>
      <c r="I251" s="6471" t="s">
        <v>991</v>
      </c>
    </row>
    <row customHeight="1" ht="11.25">
      <c r="A252" s="6471" t="s">
        <v>2387</v>
      </c>
      <c r="B252" s="6471" t="s">
        <v>16</v>
      </c>
      <c r="C252" s="6471" t="s">
        <v>3021</v>
      </c>
      <c r="D252" s="6471" t="s">
        <v>3022</v>
      </c>
      <c r="E252" s="6471" t="s">
        <v>3023</v>
      </c>
      <c r="F252" s="6471" t="s">
        <v>2394</v>
      </c>
      <c r="G252" s="6471" t="s">
        <v>28</v>
      </c>
      <c r="H252" s="6471" t="s">
        <v>28</v>
      </c>
      <c r="I252" s="6471" t="s">
        <v>991</v>
      </c>
    </row>
    <row customHeight="1" ht="11.25">
      <c r="A253" s="6471" t="s">
        <v>2387</v>
      </c>
      <c r="B253" s="6471" t="s">
        <v>16</v>
      </c>
      <c r="C253" s="6471" t="s">
        <v>2642</v>
      </c>
      <c r="D253" s="6471" t="s">
        <v>2643</v>
      </c>
      <c r="E253" s="6471" t="s">
        <v>2644</v>
      </c>
      <c r="F253" s="6471" t="s">
        <v>2628</v>
      </c>
      <c r="G253" s="6471" t="s">
        <v>28</v>
      </c>
      <c r="H253" s="6471" t="s">
        <v>28</v>
      </c>
      <c r="I253" s="6471" t="s">
        <v>991</v>
      </c>
    </row>
    <row customHeight="1" ht="11.25">
      <c r="A254" s="6471" t="s">
        <v>2387</v>
      </c>
      <c r="B254" s="6471" t="s">
        <v>16</v>
      </c>
      <c r="C254" s="6471" t="s">
        <v>2648</v>
      </c>
      <c r="D254" s="6471" t="s">
        <v>2649</v>
      </c>
      <c r="E254" s="6471" t="s">
        <v>2650</v>
      </c>
      <c r="F254" s="6471" t="s">
        <v>2628</v>
      </c>
      <c r="G254" s="6471" t="s">
        <v>28</v>
      </c>
      <c r="H254" s="6471" t="s">
        <v>28</v>
      </c>
      <c r="I254" s="6471" t="s">
        <v>991</v>
      </c>
    </row>
    <row customHeight="1" ht="11.25">
      <c r="A255" s="6471" t="s">
        <v>2387</v>
      </c>
      <c r="B255" s="6471" t="s">
        <v>16</v>
      </c>
      <c r="C255" s="6471" t="s">
        <v>3024</v>
      </c>
      <c r="D255" s="6471" t="s">
        <v>3025</v>
      </c>
      <c r="E255" s="6471" t="s">
        <v>3026</v>
      </c>
      <c r="F255" s="6471" t="s">
        <v>2628</v>
      </c>
      <c r="G255" s="6471" t="s">
        <v>28</v>
      </c>
      <c r="H255" s="6471" t="s">
        <v>28</v>
      </c>
      <c r="I255" s="6471" t="s">
        <v>991</v>
      </c>
    </row>
    <row customHeight="1" ht="11.25">
      <c r="A256" s="6471" t="s">
        <v>2387</v>
      </c>
      <c r="B256" s="6471" t="s">
        <v>16</v>
      </c>
      <c r="C256" s="6471" t="s">
        <v>3027</v>
      </c>
      <c r="D256" s="6471" t="s">
        <v>3028</v>
      </c>
      <c r="E256" s="6471" t="s">
        <v>3029</v>
      </c>
      <c r="F256" s="6471" t="s">
        <v>2511</v>
      </c>
      <c r="G256" s="6471" t="s">
        <v>3030</v>
      </c>
      <c r="H256" s="6471" t="s">
        <v>28</v>
      </c>
      <c r="I256" s="6471" t="s">
        <v>991</v>
      </c>
    </row>
    <row customHeight="1" ht="11.25">
      <c r="A257" s="6471" t="s">
        <v>2387</v>
      </c>
      <c r="B257" s="6471" t="s">
        <v>16</v>
      </c>
      <c r="C257" s="6471" t="s">
        <v>3031</v>
      </c>
      <c r="D257" s="6471" t="s">
        <v>3032</v>
      </c>
      <c r="E257" s="6471" t="s">
        <v>3033</v>
      </c>
      <c r="F257" s="6471" t="s">
        <v>2394</v>
      </c>
      <c r="G257" s="6471" t="s">
        <v>3034</v>
      </c>
      <c r="H257" s="6471" t="s">
        <v>28</v>
      </c>
      <c r="I257" s="6471" t="s">
        <v>991</v>
      </c>
    </row>
    <row customHeight="1" ht="11.25">
      <c r="A258" s="6471" t="s">
        <v>2387</v>
      </c>
      <c r="B258" s="6471" t="s">
        <v>16</v>
      </c>
      <c r="C258" s="6471" t="s">
        <v>3035</v>
      </c>
      <c r="D258" s="6471" t="s">
        <v>3036</v>
      </c>
      <c r="E258" s="6471" t="s">
        <v>3037</v>
      </c>
      <c r="F258" s="6471" t="s">
        <v>2531</v>
      </c>
      <c r="G258" s="6471" t="s">
        <v>28</v>
      </c>
      <c r="H258" s="6471" t="s">
        <v>28</v>
      </c>
      <c r="I258" s="6471" t="s">
        <v>991</v>
      </c>
    </row>
    <row customHeight="1" ht="11.25">
      <c r="A259" s="6471" t="s">
        <v>2387</v>
      </c>
      <c r="B259" s="6471" t="s">
        <v>16</v>
      </c>
      <c r="C259" s="6471" t="s">
        <v>3038</v>
      </c>
      <c r="D259" s="6471" t="s">
        <v>3039</v>
      </c>
      <c r="E259" s="6471" t="s">
        <v>3040</v>
      </c>
      <c r="F259" s="6471" t="s">
        <v>2836</v>
      </c>
      <c r="G259" s="6471" t="s">
        <v>3041</v>
      </c>
      <c r="H259" s="6471" t="s">
        <v>28</v>
      </c>
      <c r="I259" s="6471" t="s">
        <v>991</v>
      </c>
    </row>
    <row customHeight="1" ht="11.25">
      <c r="A260" s="6471" t="s">
        <v>2387</v>
      </c>
      <c r="B260" s="6471" t="s">
        <v>16</v>
      </c>
      <c r="C260" s="6471" t="s">
        <v>3042</v>
      </c>
      <c r="D260" s="6471" t="s">
        <v>3043</v>
      </c>
      <c r="E260" s="6471" t="s">
        <v>3044</v>
      </c>
      <c r="F260" s="6471" t="s">
        <v>2452</v>
      </c>
      <c r="G260" s="6471" t="s">
        <v>3045</v>
      </c>
      <c r="H260" s="6471" t="s">
        <v>28</v>
      </c>
      <c r="I260" s="6471" t="s">
        <v>991</v>
      </c>
    </row>
    <row customHeight="1" ht="11.25">
      <c r="A261" s="6471" t="s">
        <v>2387</v>
      </c>
      <c r="B261" s="6471" t="s">
        <v>16</v>
      </c>
      <c r="C261" s="6471" t="s">
        <v>3046</v>
      </c>
      <c r="D261" s="6471" t="s">
        <v>3047</v>
      </c>
      <c r="E261" s="6471" t="s">
        <v>3048</v>
      </c>
      <c r="F261" s="6471" t="s">
        <v>2725</v>
      </c>
      <c r="G261" s="6471" t="s">
        <v>3049</v>
      </c>
      <c r="H261" s="6471" t="s">
        <v>28</v>
      </c>
      <c r="I261" s="6471" t="s">
        <v>991</v>
      </c>
    </row>
    <row customHeight="1" ht="11.25">
      <c r="A262" s="6471" t="s">
        <v>2387</v>
      </c>
      <c r="B262" s="6471" t="s">
        <v>16</v>
      </c>
      <c r="C262" s="6471" t="s">
        <v>2660</v>
      </c>
      <c r="D262" s="6471" t="s">
        <v>2661</v>
      </c>
      <c r="E262" s="6471" t="s">
        <v>2662</v>
      </c>
      <c r="F262" s="6471" t="s">
        <v>2628</v>
      </c>
      <c r="G262" s="6471" t="s">
        <v>28</v>
      </c>
      <c r="H262" s="6471" t="s">
        <v>28</v>
      </c>
      <c r="I262" s="6471" t="s">
        <v>991</v>
      </c>
    </row>
    <row customHeight="1" ht="11.25">
      <c r="A263" s="6471" t="s">
        <v>2387</v>
      </c>
      <c r="B263" s="6471" t="s">
        <v>16</v>
      </c>
      <c r="C263" s="6471" t="s">
        <v>3050</v>
      </c>
      <c r="D263" s="6471" t="s">
        <v>3051</v>
      </c>
      <c r="E263" s="6471" t="s">
        <v>3052</v>
      </c>
      <c r="F263" s="6471" t="s">
        <v>2511</v>
      </c>
      <c r="G263" s="6471" t="s">
        <v>28</v>
      </c>
      <c r="H263" s="6471" t="s">
        <v>28</v>
      </c>
      <c r="I263" s="6471" t="s">
        <v>991</v>
      </c>
    </row>
    <row customHeight="1" ht="11.25">
      <c r="A264" s="6471" t="s">
        <v>2387</v>
      </c>
      <c r="B264" s="6471" t="s">
        <v>16</v>
      </c>
      <c r="C264" s="6471" t="s">
        <v>2678</v>
      </c>
      <c r="D264" s="6471" t="s">
        <v>2679</v>
      </c>
      <c r="E264" s="6471" t="s">
        <v>2680</v>
      </c>
      <c r="F264" s="6471" t="s">
        <v>2431</v>
      </c>
      <c r="G264" s="6471" t="s">
        <v>28</v>
      </c>
      <c r="H264" s="6471" t="s">
        <v>28</v>
      </c>
      <c r="I264" s="6471" t="s">
        <v>991</v>
      </c>
    </row>
    <row customHeight="1" ht="11.25">
      <c r="A265" s="6471" t="s">
        <v>2387</v>
      </c>
      <c r="B265" s="6471" t="s">
        <v>16</v>
      </c>
      <c r="C265" s="6471" t="s">
        <v>2681</v>
      </c>
      <c r="D265" s="6471" t="s">
        <v>2682</v>
      </c>
      <c r="E265" s="6471" t="s">
        <v>2683</v>
      </c>
      <c r="F265" s="6471" t="s">
        <v>2394</v>
      </c>
      <c r="G265" s="6471" t="s">
        <v>28</v>
      </c>
      <c r="H265" s="6471" t="s">
        <v>28</v>
      </c>
      <c r="I265" s="6471" t="s">
        <v>991</v>
      </c>
    </row>
    <row customHeight="1" ht="11.25">
      <c r="A266" s="6471" t="s">
        <v>2387</v>
      </c>
      <c r="B266" s="6471" t="s">
        <v>16</v>
      </c>
      <c r="C266" s="6471" t="s">
        <v>2696</v>
      </c>
      <c r="D266" s="6471" t="s">
        <v>2697</v>
      </c>
      <c r="E266" s="6471" t="s">
        <v>2698</v>
      </c>
      <c r="F266" s="6471" t="s">
        <v>2595</v>
      </c>
      <c r="G266" s="6471" t="s">
        <v>2699</v>
      </c>
      <c r="H266" s="6471" t="s">
        <v>28</v>
      </c>
      <c r="I266" s="6471" t="s">
        <v>991</v>
      </c>
    </row>
    <row customHeight="1" ht="11.25">
      <c r="A267" s="6471" t="s">
        <v>2387</v>
      </c>
      <c r="B267" s="6471" t="s">
        <v>16</v>
      </c>
      <c r="C267" s="6471" t="s">
        <v>3053</v>
      </c>
      <c r="D267" s="6471" t="s">
        <v>3054</v>
      </c>
      <c r="E267" s="6471" t="s">
        <v>3055</v>
      </c>
      <c r="F267" s="6471" t="s">
        <v>2581</v>
      </c>
      <c r="G267" s="6471" t="s">
        <v>28</v>
      </c>
      <c r="H267" s="6471" t="s">
        <v>28</v>
      </c>
      <c r="I267" s="6471" t="s">
        <v>991</v>
      </c>
    </row>
    <row customHeight="1" ht="11.25">
      <c r="A268" s="6471" t="s">
        <v>2387</v>
      </c>
      <c r="B268" s="6471" t="s">
        <v>16</v>
      </c>
      <c r="C268" s="6471" t="s">
        <v>3056</v>
      </c>
      <c r="D268" s="6471" t="s">
        <v>3057</v>
      </c>
      <c r="E268" s="6471" t="s">
        <v>3058</v>
      </c>
      <c r="F268" s="6471" t="s">
        <v>2531</v>
      </c>
      <c r="G268" s="6471" t="s">
        <v>28</v>
      </c>
      <c r="H268" s="6471" t="s">
        <v>28</v>
      </c>
      <c r="I268" s="6471" t="s">
        <v>991</v>
      </c>
    </row>
    <row customHeight="1" ht="11.25">
      <c r="A269" s="6471" t="s">
        <v>2387</v>
      </c>
      <c r="B269" s="6471" t="s">
        <v>16</v>
      </c>
      <c r="C269" s="6471" t="s">
        <v>2716</v>
      </c>
      <c r="D269" s="6471" t="s">
        <v>2717</v>
      </c>
      <c r="E269" s="6471" t="s">
        <v>2718</v>
      </c>
      <c r="F269" s="6471" t="s">
        <v>2394</v>
      </c>
      <c r="G269" s="6471" t="s">
        <v>28</v>
      </c>
      <c r="H269" s="6471" t="s">
        <v>28</v>
      </c>
      <c r="I269" s="6471" t="s">
        <v>991</v>
      </c>
    </row>
    <row customHeight="1" ht="11.25">
      <c r="A270" s="6471" t="s">
        <v>2387</v>
      </c>
      <c r="B270" s="6471" t="s">
        <v>16</v>
      </c>
      <c r="C270" s="6471" t="s">
        <v>3059</v>
      </c>
      <c r="D270" s="6471" t="s">
        <v>3060</v>
      </c>
      <c r="E270" s="6471" t="s">
        <v>3061</v>
      </c>
      <c r="F270" s="6471" t="s">
        <v>3062</v>
      </c>
      <c r="G270" s="6471" t="s">
        <v>28</v>
      </c>
      <c r="H270" s="6471" t="s">
        <v>28</v>
      </c>
      <c r="I270" s="6471" t="s">
        <v>991</v>
      </c>
    </row>
    <row customHeight="1" ht="11.25">
      <c r="A271" s="6471" t="s">
        <v>2387</v>
      </c>
      <c r="B271" s="6471" t="s">
        <v>16</v>
      </c>
      <c r="C271" s="6471" t="s">
        <v>3063</v>
      </c>
      <c r="D271" s="6471" t="s">
        <v>3064</v>
      </c>
      <c r="E271" s="6471" t="s">
        <v>3065</v>
      </c>
      <c r="F271" s="6471" t="s">
        <v>2595</v>
      </c>
      <c r="G271" s="6471" t="s">
        <v>28</v>
      </c>
      <c r="H271" s="6471" t="s">
        <v>28</v>
      </c>
      <c r="I271" s="6471" t="s">
        <v>991</v>
      </c>
    </row>
    <row customHeight="1" ht="11.25">
      <c r="A272" s="6471" t="s">
        <v>2387</v>
      </c>
      <c r="B272" s="6471" t="s">
        <v>16</v>
      </c>
      <c r="C272" s="6471" t="s">
        <v>3066</v>
      </c>
      <c r="D272" s="6471" t="s">
        <v>3067</v>
      </c>
      <c r="E272" s="6471" t="s">
        <v>3068</v>
      </c>
      <c r="F272" s="6471" t="s">
        <v>2419</v>
      </c>
      <c r="G272" s="6471" t="s">
        <v>28</v>
      </c>
      <c r="H272" s="6471" t="s">
        <v>28</v>
      </c>
      <c r="I272" s="6471" t="s">
        <v>991</v>
      </c>
    </row>
    <row customHeight="1" ht="11.25">
      <c r="A273" s="6471" t="s">
        <v>2387</v>
      </c>
      <c r="B273" s="6471" t="s">
        <v>16</v>
      </c>
      <c r="C273" s="6471" t="s">
        <v>2719</v>
      </c>
      <c r="D273" s="6471" t="s">
        <v>2720</v>
      </c>
      <c r="E273" s="6471" t="s">
        <v>2721</v>
      </c>
      <c r="F273" s="6471" t="s">
        <v>2511</v>
      </c>
      <c r="G273" s="6471" t="s">
        <v>2453</v>
      </c>
      <c r="H273" s="6471" t="s">
        <v>28</v>
      </c>
      <c r="I273" s="6471" t="s">
        <v>991</v>
      </c>
    </row>
    <row customHeight="1" ht="11.25">
      <c r="A274" s="6471" t="s">
        <v>2387</v>
      </c>
      <c r="B274" s="6471" t="s">
        <v>16</v>
      </c>
      <c r="C274" s="6471" t="s">
        <v>3069</v>
      </c>
      <c r="D274" s="6471" t="s">
        <v>3070</v>
      </c>
      <c r="E274" s="6471" t="s">
        <v>3071</v>
      </c>
      <c r="F274" s="6471" t="s">
        <v>2511</v>
      </c>
      <c r="G274" s="6471" t="s">
        <v>28</v>
      </c>
      <c r="H274" s="6471" t="s">
        <v>28</v>
      </c>
      <c r="I274" s="6471" t="s">
        <v>991</v>
      </c>
    </row>
    <row customHeight="1" ht="11.25">
      <c r="A275" s="6471" t="s">
        <v>2387</v>
      </c>
      <c r="B275" s="6471" t="s">
        <v>16</v>
      </c>
      <c r="C275" s="6471" t="s">
        <v>2729</v>
      </c>
      <c r="D275" s="6471" t="s">
        <v>2730</v>
      </c>
      <c r="E275" s="6471" t="s">
        <v>2731</v>
      </c>
      <c r="F275" s="6471" t="s">
        <v>2732</v>
      </c>
      <c r="G275" s="6471" t="s">
        <v>28</v>
      </c>
      <c r="H275" s="6471" t="s">
        <v>28</v>
      </c>
      <c r="I275" s="6471" t="s">
        <v>991</v>
      </c>
    </row>
    <row customHeight="1" ht="11.25">
      <c r="A276" s="6471" t="s">
        <v>2387</v>
      </c>
      <c r="B276" s="6471" t="s">
        <v>16</v>
      </c>
      <c r="C276" s="6471" t="s">
        <v>3072</v>
      </c>
      <c r="D276" s="6471" t="s">
        <v>3073</v>
      </c>
      <c r="E276" s="6471" t="s">
        <v>3074</v>
      </c>
      <c r="F276" s="6471" t="s">
        <v>2452</v>
      </c>
      <c r="G276" s="6471" t="s">
        <v>28</v>
      </c>
      <c r="H276" s="6471" t="s">
        <v>28</v>
      </c>
      <c r="I276" s="6471" t="s">
        <v>991</v>
      </c>
    </row>
    <row customHeight="1" ht="11.25">
      <c r="A277" s="6471" t="s">
        <v>2387</v>
      </c>
      <c r="B277" s="6471" t="s">
        <v>16</v>
      </c>
      <c r="C277" s="6471" t="s">
        <v>2751</v>
      </c>
      <c r="D277" s="6471" t="s">
        <v>2752</v>
      </c>
      <c r="E277" s="6471" t="s">
        <v>2753</v>
      </c>
      <c r="F277" s="6471" t="s">
        <v>2754</v>
      </c>
      <c r="G277" s="6471" t="s">
        <v>28</v>
      </c>
      <c r="H277" s="6471" t="s">
        <v>28</v>
      </c>
      <c r="I277" s="6471" t="s">
        <v>991</v>
      </c>
    </row>
    <row customHeight="1" ht="11.25">
      <c r="A278" s="6471" t="s">
        <v>2387</v>
      </c>
      <c r="B278" s="6471" t="s">
        <v>16</v>
      </c>
      <c r="C278" s="6471" t="s">
        <v>3075</v>
      </c>
      <c r="D278" s="6471" t="s">
        <v>3076</v>
      </c>
      <c r="E278" s="6471" t="s">
        <v>3077</v>
      </c>
      <c r="F278" s="6471" t="s">
        <v>2419</v>
      </c>
      <c r="G278" s="6471" t="s">
        <v>28</v>
      </c>
      <c r="H278" s="6471" t="s">
        <v>28</v>
      </c>
      <c r="I278" s="6471" t="s">
        <v>991</v>
      </c>
    </row>
    <row customHeight="1" ht="11.25">
      <c r="A279" s="6471" t="s">
        <v>2387</v>
      </c>
      <c r="B279" s="6471" t="s">
        <v>16</v>
      </c>
      <c r="C279" s="6471" t="s">
        <v>3078</v>
      </c>
      <c r="D279" s="6471" t="s">
        <v>3079</v>
      </c>
      <c r="E279" s="6471" t="s">
        <v>3080</v>
      </c>
      <c r="F279" s="6471" t="s">
        <v>2628</v>
      </c>
      <c r="G279" s="6471" t="s">
        <v>28</v>
      </c>
      <c r="H279" s="6471" t="s">
        <v>28</v>
      </c>
      <c r="I279" s="6471" t="s">
        <v>991</v>
      </c>
    </row>
    <row customHeight="1" ht="11.25">
      <c r="A280" s="6471" t="s">
        <v>2387</v>
      </c>
      <c r="B280" s="6471" t="s">
        <v>16</v>
      </c>
      <c r="C280" s="6471" t="s">
        <v>3081</v>
      </c>
      <c r="D280" s="6471" t="s">
        <v>3082</v>
      </c>
      <c r="E280" s="6471" t="s">
        <v>3083</v>
      </c>
      <c r="F280" s="6471" t="s">
        <v>2394</v>
      </c>
      <c r="G280" s="6471" t="s">
        <v>28</v>
      </c>
      <c r="H280" s="6471" t="s">
        <v>28</v>
      </c>
      <c r="I280" s="6471" t="s">
        <v>991</v>
      </c>
    </row>
    <row customHeight="1" ht="11.25">
      <c r="A281" s="6471" t="s">
        <v>2387</v>
      </c>
      <c r="B281" s="6471" t="s">
        <v>16</v>
      </c>
      <c r="C281" s="6471" t="s">
        <v>3084</v>
      </c>
      <c r="D281" s="6471" t="s">
        <v>3085</v>
      </c>
      <c r="E281" s="6471" t="s">
        <v>3086</v>
      </c>
      <c r="F281" s="6471" t="s">
        <v>2732</v>
      </c>
      <c r="G281" s="6471" t="s">
        <v>28</v>
      </c>
      <c r="H281" s="6471" t="s">
        <v>28</v>
      </c>
      <c r="I281" s="6471" t="s">
        <v>991</v>
      </c>
    </row>
    <row customHeight="1" ht="11.25">
      <c r="A282" s="6471" t="s">
        <v>2387</v>
      </c>
      <c r="B282" s="6471" t="s">
        <v>16</v>
      </c>
      <c r="C282" s="6471" t="s">
        <v>3087</v>
      </c>
      <c r="D282" s="6471" t="s">
        <v>3088</v>
      </c>
      <c r="E282" s="6471" t="s">
        <v>3089</v>
      </c>
      <c r="F282" s="6471" t="s">
        <v>2497</v>
      </c>
      <c r="G282" s="6471" t="s">
        <v>28</v>
      </c>
      <c r="H282" s="6471" t="s">
        <v>28</v>
      </c>
      <c r="I282" s="6471" t="s">
        <v>991</v>
      </c>
    </row>
    <row customHeight="1" ht="11.25">
      <c r="A283" s="6471" t="s">
        <v>2387</v>
      </c>
      <c r="B283" s="6471" t="s">
        <v>16</v>
      </c>
      <c r="C283" s="6471" t="s">
        <v>3090</v>
      </c>
      <c r="D283" s="6471" t="s">
        <v>3091</v>
      </c>
      <c r="E283" s="6471" t="s">
        <v>3092</v>
      </c>
      <c r="F283" s="6471" t="s">
        <v>2390</v>
      </c>
      <c r="G283" s="6471" t="s">
        <v>28</v>
      </c>
      <c r="H283" s="6471" t="s">
        <v>28</v>
      </c>
      <c r="I283" s="6471" t="s">
        <v>991</v>
      </c>
    </row>
    <row customHeight="1" ht="11.25">
      <c r="A284" s="6471" t="s">
        <v>2387</v>
      </c>
      <c r="B284" s="6471" t="s">
        <v>16</v>
      </c>
      <c r="C284" s="6471" t="s">
        <v>3093</v>
      </c>
      <c r="D284" s="6471" t="s">
        <v>3094</v>
      </c>
      <c r="E284" s="6471" t="s">
        <v>3095</v>
      </c>
      <c r="F284" s="6471" t="s">
        <v>2452</v>
      </c>
      <c r="G284" s="6471" t="s">
        <v>28</v>
      </c>
      <c r="H284" s="6471" t="s">
        <v>28</v>
      </c>
      <c r="I284" s="6471" t="s">
        <v>991</v>
      </c>
    </row>
    <row customHeight="1" ht="11.25">
      <c r="A285" s="6471" t="s">
        <v>2387</v>
      </c>
      <c r="B285" s="6471" t="s">
        <v>16</v>
      </c>
      <c r="C285" s="6471" t="s">
        <v>3096</v>
      </c>
      <c r="D285" s="6471" t="s">
        <v>3097</v>
      </c>
      <c r="E285" s="6471" t="s">
        <v>3098</v>
      </c>
      <c r="F285" s="6471" t="s">
        <v>2443</v>
      </c>
      <c r="G285" s="6471" t="s">
        <v>3099</v>
      </c>
      <c r="H285" s="6471" t="s">
        <v>28</v>
      </c>
      <c r="I285" s="6471" t="s">
        <v>991</v>
      </c>
    </row>
    <row customHeight="1" ht="11.25">
      <c r="A286" s="6471" t="s">
        <v>2387</v>
      </c>
      <c r="B286" s="6471" t="s">
        <v>16</v>
      </c>
      <c r="C286" s="6471" t="s">
        <v>3100</v>
      </c>
      <c r="D286" s="6471" t="s">
        <v>3101</v>
      </c>
      <c r="E286" s="6471" t="s">
        <v>2389</v>
      </c>
      <c r="F286" s="6471" t="s">
        <v>2390</v>
      </c>
      <c r="G286" s="6471" t="s">
        <v>28</v>
      </c>
      <c r="H286" s="6471" t="s">
        <v>28</v>
      </c>
      <c r="I286" s="6471" t="s">
        <v>991</v>
      </c>
    </row>
    <row customHeight="1" ht="11.25">
      <c r="A287" s="6471" t="s">
        <v>2387</v>
      </c>
      <c r="B287" s="6471" t="s">
        <v>16</v>
      </c>
      <c r="C287" s="6471" t="s">
        <v>3102</v>
      </c>
      <c r="D287" s="6471" t="s">
        <v>3103</v>
      </c>
      <c r="E287" s="6471" t="s">
        <v>3104</v>
      </c>
      <c r="F287" s="6471" t="s">
        <v>2394</v>
      </c>
      <c r="G287" s="6471" t="s">
        <v>28</v>
      </c>
      <c r="H287" s="6471" t="s">
        <v>28</v>
      </c>
      <c r="I287" s="6471" t="s">
        <v>991</v>
      </c>
    </row>
    <row customHeight="1" ht="11.25">
      <c r="A288" s="6471" t="s">
        <v>2387</v>
      </c>
      <c r="B288" s="6471" t="s">
        <v>16</v>
      </c>
      <c r="C288" s="6471" t="s">
        <v>3105</v>
      </c>
      <c r="D288" s="6471" t="s">
        <v>3106</v>
      </c>
      <c r="E288" s="6471" t="s">
        <v>3107</v>
      </c>
      <c r="F288" s="6471" t="s">
        <v>2394</v>
      </c>
      <c r="G288" s="6471" t="s">
        <v>28</v>
      </c>
      <c r="H288" s="6471" t="s">
        <v>28</v>
      </c>
      <c r="I288" s="6471" t="s">
        <v>991</v>
      </c>
    </row>
    <row customHeight="1" ht="11.25">
      <c r="A289" s="6471" t="s">
        <v>2387</v>
      </c>
      <c r="B289" s="6471" t="s">
        <v>16</v>
      </c>
      <c r="C289" s="6471" t="s">
        <v>2758</v>
      </c>
      <c r="D289" s="6471" t="s">
        <v>2759</v>
      </c>
      <c r="E289" s="6471" t="s">
        <v>2760</v>
      </c>
      <c r="F289" s="6471" t="s">
        <v>2402</v>
      </c>
      <c r="G289" s="6471" t="s">
        <v>28</v>
      </c>
      <c r="H289" s="6471" t="s">
        <v>28</v>
      </c>
      <c r="I289" s="6471" t="s">
        <v>991</v>
      </c>
    </row>
    <row customHeight="1" ht="11.25">
      <c r="A290" s="6471" t="s">
        <v>2387</v>
      </c>
      <c r="B290" s="6471" t="s">
        <v>16</v>
      </c>
      <c r="C290" s="6471" t="s">
        <v>2769</v>
      </c>
      <c r="D290" s="6471" t="s">
        <v>2770</v>
      </c>
      <c r="E290" s="6471" t="s">
        <v>2771</v>
      </c>
      <c r="F290" s="6471" t="s">
        <v>2732</v>
      </c>
      <c r="G290" s="6471" t="s">
        <v>2772</v>
      </c>
      <c r="H290" s="6471" t="s">
        <v>28</v>
      </c>
      <c r="I290" s="6471" t="s">
        <v>991</v>
      </c>
    </row>
    <row customHeight="1" ht="11.25">
      <c r="A291" s="6471" t="s">
        <v>2387</v>
      </c>
      <c r="B291" s="6471" t="s">
        <v>16</v>
      </c>
      <c r="C291" s="6471" t="s">
        <v>2773</v>
      </c>
      <c r="D291" s="6471" t="s">
        <v>2774</v>
      </c>
      <c r="E291" s="6471" t="s">
        <v>2775</v>
      </c>
      <c r="F291" s="6471" t="s">
        <v>2443</v>
      </c>
      <c r="G291" s="6471" t="s">
        <v>2776</v>
      </c>
      <c r="H291" s="6471" t="s">
        <v>28</v>
      </c>
      <c r="I291" s="6471" t="s">
        <v>991</v>
      </c>
    </row>
    <row customHeight="1" ht="11.25">
      <c r="A292" s="6471" t="s">
        <v>2387</v>
      </c>
      <c r="B292" s="6471" t="s">
        <v>16</v>
      </c>
      <c r="C292" s="6471" t="s">
        <v>3108</v>
      </c>
      <c r="D292" s="6471" t="s">
        <v>3109</v>
      </c>
      <c r="E292" s="6471" t="s">
        <v>3110</v>
      </c>
      <c r="F292" s="6471" t="s">
        <v>2497</v>
      </c>
      <c r="G292" s="6471" t="s">
        <v>28</v>
      </c>
      <c r="H292" s="6471" t="s">
        <v>28</v>
      </c>
      <c r="I292" s="6471" t="s">
        <v>991</v>
      </c>
    </row>
    <row customHeight="1" ht="11.25">
      <c r="A293" s="6471" t="s">
        <v>2387</v>
      </c>
      <c r="B293" s="6471" t="s">
        <v>16</v>
      </c>
      <c r="C293" s="6471" t="s">
        <v>3111</v>
      </c>
      <c r="D293" s="6471" t="s">
        <v>3112</v>
      </c>
      <c r="E293" s="6471" t="s">
        <v>3113</v>
      </c>
      <c r="F293" s="6471" t="s">
        <v>2628</v>
      </c>
      <c r="G293" s="6471" t="s">
        <v>28</v>
      </c>
      <c r="H293" s="6471" t="s">
        <v>28</v>
      </c>
      <c r="I293" s="6471" t="s">
        <v>991</v>
      </c>
    </row>
    <row customHeight="1" ht="11.25">
      <c r="A294" s="6471" t="s">
        <v>2387</v>
      </c>
      <c r="B294" s="6471" t="s">
        <v>16</v>
      </c>
      <c r="C294" s="6471" t="s">
        <v>3114</v>
      </c>
      <c r="D294" s="6471" t="s">
        <v>3115</v>
      </c>
      <c r="E294" s="6471" t="s">
        <v>3116</v>
      </c>
      <c r="F294" s="6471" t="s">
        <v>3117</v>
      </c>
      <c r="G294" s="6471" t="s">
        <v>28</v>
      </c>
      <c r="H294" s="6471" t="s">
        <v>28</v>
      </c>
      <c r="I294" s="6471" t="s">
        <v>991</v>
      </c>
    </row>
    <row customHeight="1" ht="11.25">
      <c r="A295" s="6471" t="s">
        <v>2387</v>
      </c>
      <c r="B295" s="6471" t="s">
        <v>16</v>
      </c>
      <c r="C295" s="6471" t="s">
        <v>3118</v>
      </c>
      <c r="D295" s="6471" t="s">
        <v>3119</v>
      </c>
      <c r="E295" s="6471" t="s">
        <v>3120</v>
      </c>
      <c r="F295" s="6471" t="s">
        <v>2531</v>
      </c>
      <c r="G295" s="6471" t="s">
        <v>28</v>
      </c>
      <c r="H295" s="6471" t="s">
        <v>28</v>
      </c>
      <c r="I295" s="6471" t="s">
        <v>991</v>
      </c>
    </row>
    <row customHeight="1" ht="11.25">
      <c r="A296" s="6471" t="s">
        <v>2387</v>
      </c>
      <c r="B296" s="6471" t="s">
        <v>16</v>
      </c>
      <c r="C296" s="6471" t="s">
        <v>2787</v>
      </c>
      <c r="D296" s="6471" t="s">
        <v>2788</v>
      </c>
      <c r="E296" s="6471" t="s">
        <v>2789</v>
      </c>
      <c r="F296" s="6471" t="s">
        <v>2595</v>
      </c>
      <c r="G296" s="6471" t="s">
        <v>28</v>
      </c>
      <c r="H296" s="6471" t="s">
        <v>28</v>
      </c>
      <c r="I296" s="6471" t="s">
        <v>991</v>
      </c>
    </row>
    <row customHeight="1" ht="11.25">
      <c r="A297" s="6471" t="s">
        <v>2387</v>
      </c>
      <c r="B297" s="6471" t="s">
        <v>16</v>
      </c>
      <c r="C297" s="6471" t="s">
        <v>2790</v>
      </c>
      <c r="D297" s="6471" t="s">
        <v>2791</v>
      </c>
      <c r="E297" s="6471" t="s">
        <v>2792</v>
      </c>
      <c r="F297" s="6471" t="s">
        <v>2793</v>
      </c>
      <c r="G297" s="6471" t="s">
        <v>2794</v>
      </c>
      <c r="H297" s="6471" t="s">
        <v>28</v>
      </c>
      <c r="I297" s="6471" t="s">
        <v>991</v>
      </c>
    </row>
    <row customHeight="1" ht="11.25">
      <c r="A298" s="6471" t="s">
        <v>2387</v>
      </c>
      <c r="B298" s="6471" t="s">
        <v>16</v>
      </c>
      <c r="C298" s="6471" t="s">
        <v>2795</v>
      </c>
      <c r="D298" s="6471" t="s">
        <v>2796</v>
      </c>
      <c r="E298" s="6471" t="s">
        <v>2797</v>
      </c>
      <c r="F298" s="6471" t="s">
        <v>2595</v>
      </c>
      <c r="G298" s="6471" t="s">
        <v>28</v>
      </c>
      <c r="H298" s="6471" t="s">
        <v>28</v>
      </c>
      <c r="I298" s="6471" t="s">
        <v>991</v>
      </c>
    </row>
    <row customHeight="1" ht="11.25">
      <c r="A299" s="6471" t="s">
        <v>2387</v>
      </c>
      <c r="B299" s="6471" t="s">
        <v>16</v>
      </c>
      <c r="C299" s="6471" t="s">
        <v>2801</v>
      </c>
      <c r="D299" s="6471" t="s">
        <v>2802</v>
      </c>
      <c r="E299" s="6471" t="s">
        <v>2803</v>
      </c>
      <c r="F299" s="6471" t="s">
        <v>2531</v>
      </c>
      <c r="G299" s="6471" t="s">
        <v>28</v>
      </c>
      <c r="H299" s="6471" t="s">
        <v>28</v>
      </c>
      <c r="I299" s="6471" t="s">
        <v>991</v>
      </c>
    </row>
    <row customHeight="1" ht="11.25">
      <c r="A300" s="6471" t="s">
        <v>2387</v>
      </c>
      <c r="B300" s="6471" t="s">
        <v>16</v>
      </c>
      <c r="C300" s="6471" t="s">
        <v>3121</v>
      </c>
      <c r="D300" s="6471" t="s">
        <v>3122</v>
      </c>
      <c r="E300" s="6471" t="s">
        <v>3123</v>
      </c>
      <c r="F300" s="6471" t="s">
        <v>2933</v>
      </c>
      <c r="G300" s="6471" t="s">
        <v>28</v>
      </c>
      <c r="H300" s="6471" t="s">
        <v>28</v>
      </c>
      <c r="I300" s="6471" t="s">
        <v>991</v>
      </c>
    </row>
    <row customHeight="1" ht="11.25">
      <c r="A301" s="6471" t="s">
        <v>2387</v>
      </c>
      <c r="B301" s="6471" t="s">
        <v>16</v>
      </c>
      <c r="C301" s="6471" t="s">
        <v>3124</v>
      </c>
      <c r="D301" s="6471" t="s">
        <v>3125</v>
      </c>
      <c r="E301" s="6471" t="s">
        <v>3126</v>
      </c>
      <c r="F301" s="6471" t="s">
        <v>2933</v>
      </c>
      <c r="G301" s="6471" t="s">
        <v>28</v>
      </c>
      <c r="H301" s="6471" t="s">
        <v>28</v>
      </c>
      <c r="I301" s="6471" t="s">
        <v>991</v>
      </c>
    </row>
    <row customHeight="1" ht="11.25">
      <c r="A302" s="6471" t="s">
        <v>2387</v>
      </c>
      <c r="B302" s="6471" t="s">
        <v>16</v>
      </c>
      <c r="C302" s="6471" t="s">
        <v>3127</v>
      </c>
      <c r="D302" s="6471" t="s">
        <v>3128</v>
      </c>
      <c r="E302" s="6471" t="s">
        <v>3129</v>
      </c>
      <c r="F302" s="6471" t="s">
        <v>2419</v>
      </c>
      <c r="G302" s="6471" t="s">
        <v>28</v>
      </c>
      <c r="H302" s="6471" t="s">
        <v>28</v>
      </c>
      <c r="I302" s="6471" t="s">
        <v>991</v>
      </c>
    </row>
    <row customHeight="1" ht="11.25">
      <c r="A303" s="6471" t="s">
        <v>2387</v>
      </c>
      <c r="B303" s="6471" t="s">
        <v>16</v>
      </c>
      <c r="C303" s="6471" t="s">
        <v>3130</v>
      </c>
      <c r="D303" s="6471" t="s">
        <v>3131</v>
      </c>
      <c r="E303" s="6471" t="s">
        <v>3132</v>
      </c>
      <c r="F303" s="6471" t="s">
        <v>2810</v>
      </c>
      <c r="G303" s="6471" t="s">
        <v>28</v>
      </c>
      <c r="H303" s="6471" t="s">
        <v>28</v>
      </c>
      <c r="I303" s="6471" t="s">
        <v>991</v>
      </c>
    </row>
    <row customHeight="1" ht="11.25">
      <c r="A304" s="6471" t="s">
        <v>2387</v>
      </c>
      <c r="B304" s="6471" t="s">
        <v>16</v>
      </c>
      <c r="C304" s="6471" t="s">
        <v>3133</v>
      </c>
      <c r="D304" s="6471" t="s">
        <v>3134</v>
      </c>
      <c r="E304" s="6471" t="s">
        <v>3135</v>
      </c>
      <c r="F304" s="6471" t="s">
        <v>2581</v>
      </c>
      <c r="G304" s="6471" t="s">
        <v>28</v>
      </c>
      <c r="H304" s="6471" t="s">
        <v>28</v>
      </c>
      <c r="I304" s="6471" t="s">
        <v>991</v>
      </c>
    </row>
    <row customHeight="1" ht="11.25">
      <c r="A305" s="6471" t="s">
        <v>2387</v>
      </c>
      <c r="B305" s="6471" t="s">
        <v>16</v>
      </c>
      <c r="C305" s="6471" t="s">
        <v>2807</v>
      </c>
      <c r="D305" s="6471" t="s">
        <v>2808</v>
      </c>
      <c r="E305" s="6471" t="s">
        <v>2809</v>
      </c>
      <c r="F305" s="6471" t="s">
        <v>2810</v>
      </c>
      <c r="G305" s="6471" t="s">
        <v>28</v>
      </c>
      <c r="H305" s="6471" t="s">
        <v>28</v>
      </c>
      <c r="I305" s="6471" t="s">
        <v>991</v>
      </c>
    </row>
    <row customHeight="1" ht="11.25">
      <c r="A306" s="6471" t="s">
        <v>2387</v>
      </c>
      <c r="B306" s="6471" t="s">
        <v>16</v>
      </c>
      <c r="C306" s="6471" t="s">
        <v>3136</v>
      </c>
      <c r="D306" s="6471" t="s">
        <v>3137</v>
      </c>
      <c r="E306" s="6471" t="s">
        <v>3138</v>
      </c>
      <c r="F306" s="6471" t="s">
        <v>2531</v>
      </c>
      <c r="G306" s="6471" t="s">
        <v>28</v>
      </c>
      <c r="H306" s="6471" t="s">
        <v>28</v>
      </c>
      <c r="I306" s="6471" t="s">
        <v>991</v>
      </c>
    </row>
    <row customHeight="1" ht="11.25">
      <c r="A307" s="6471" t="s">
        <v>2387</v>
      </c>
      <c r="B307" s="6471" t="s">
        <v>16</v>
      </c>
      <c r="C307" s="6471" t="s">
        <v>3139</v>
      </c>
      <c r="D307" s="6471" t="s">
        <v>3140</v>
      </c>
      <c r="E307" s="6471" t="s">
        <v>3141</v>
      </c>
      <c r="F307" s="6471" t="s">
        <v>2993</v>
      </c>
      <c r="G307" s="6471" t="s">
        <v>3142</v>
      </c>
      <c r="H307" s="6471" t="s">
        <v>28</v>
      </c>
      <c r="I307" s="6471" t="s">
        <v>991</v>
      </c>
    </row>
    <row customHeight="1" ht="11.25">
      <c r="A308" s="6471" t="s">
        <v>2387</v>
      </c>
      <c r="B308" s="6471" t="s">
        <v>16</v>
      </c>
      <c r="C308" s="6471" t="s">
        <v>3143</v>
      </c>
      <c r="D308" s="6471" t="s">
        <v>3144</v>
      </c>
      <c r="E308" s="6471" t="s">
        <v>3145</v>
      </c>
      <c r="F308" s="6471" t="s">
        <v>2497</v>
      </c>
      <c r="G308" s="6471" t="s">
        <v>28</v>
      </c>
      <c r="H308" s="6471" t="s">
        <v>28</v>
      </c>
      <c r="I308" s="6471" t="s">
        <v>991</v>
      </c>
    </row>
    <row customHeight="1" ht="11.25">
      <c r="A309" s="6471" t="s">
        <v>2387</v>
      </c>
      <c r="B309" s="6471" t="s">
        <v>16</v>
      </c>
      <c r="C309" s="6471" t="s">
        <v>3146</v>
      </c>
      <c r="D309" s="6471" t="s">
        <v>3147</v>
      </c>
      <c r="E309" s="6471" t="s">
        <v>3148</v>
      </c>
      <c r="F309" s="6471" t="s">
        <v>2523</v>
      </c>
      <c r="G309" s="6471" t="s">
        <v>28</v>
      </c>
      <c r="H309" s="6471" t="s">
        <v>28</v>
      </c>
      <c r="I309" s="6471" t="s">
        <v>991</v>
      </c>
    </row>
    <row customHeight="1" ht="11.25">
      <c r="A310" s="6471" t="s">
        <v>2387</v>
      </c>
      <c r="B310" s="6471" t="s">
        <v>16</v>
      </c>
      <c r="C310" s="6471" t="s">
        <v>3149</v>
      </c>
      <c r="D310" s="6471" t="s">
        <v>3150</v>
      </c>
      <c r="E310" s="6471" t="s">
        <v>3151</v>
      </c>
      <c r="F310" s="6471" t="s">
        <v>2394</v>
      </c>
      <c r="G310" s="6471" t="s">
        <v>28</v>
      </c>
      <c r="H310" s="6471" t="s">
        <v>28</v>
      </c>
      <c r="I310" s="6471" t="s">
        <v>991</v>
      </c>
    </row>
    <row customHeight="1" ht="11.25">
      <c r="A311" s="6471" t="s">
        <v>2387</v>
      </c>
      <c r="B311" s="6471" t="s">
        <v>16</v>
      </c>
      <c r="C311" s="6471" t="s">
        <v>3152</v>
      </c>
      <c r="D311" s="6471" t="s">
        <v>3153</v>
      </c>
      <c r="E311" s="6471" t="s">
        <v>3154</v>
      </c>
      <c r="F311" s="6471" t="s">
        <v>2555</v>
      </c>
      <c r="G311" s="6471" t="s">
        <v>28</v>
      </c>
      <c r="H311" s="6471" t="s">
        <v>28</v>
      </c>
      <c r="I311" s="6471" t="s">
        <v>991</v>
      </c>
    </row>
    <row customHeight="1" ht="11.25">
      <c r="A312" s="6471" t="s">
        <v>2387</v>
      </c>
      <c r="B312" s="6471" t="s">
        <v>16</v>
      </c>
      <c r="C312" s="6471" t="s">
        <v>3155</v>
      </c>
      <c r="D312" s="6471" t="s">
        <v>3156</v>
      </c>
      <c r="E312" s="6471" t="s">
        <v>3157</v>
      </c>
      <c r="F312" s="6471" t="s">
        <v>2933</v>
      </c>
      <c r="G312" s="6471" t="s">
        <v>3158</v>
      </c>
      <c r="H312" s="6471" t="s">
        <v>28</v>
      </c>
      <c r="I312" s="6471" t="s">
        <v>991</v>
      </c>
    </row>
    <row customHeight="1" ht="11.25">
      <c r="A313" s="6471" t="s">
        <v>2387</v>
      </c>
      <c r="B313" s="6471" t="s">
        <v>16</v>
      </c>
      <c r="C313" s="6471" t="s">
        <v>3159</v>
      </c>
      <c r="D313" s="6471" t="s">
        <v>3160</v>
      </c>
      <c r="E313" s="6471" t="s">
        <v>3161</v>
      </c>
      <c r="F313" s="6471" t="s">
        <v>2452</v>
      </c>
      <c r="G313" s="6471" t="s">
        <v>28</v>
      </c>
      <c r="H313" s="6471" t="s">
        <v>28</v>
      </c>
      <c r="I313" s="6471" t="s">
        <v>991</v>
      </c>
    </row>
    <row customHeight="1" ht="11.25">
      <c r="A314" s="6471" t="s">
        <v>2387</v>
      </c>
      <c r="B314" s="6471" t="s">
        <v>16</v>
      </c>
      <c r="C314" s="6471" t="s">
        <v>2837</v>
      </c>
      <c r="D314" s="6471" t="s">
        <v>2838</v>
      </c>
      <c r="E314" s="6471" t="s">
        <v>2839</v>
      </c>
      <c r="F314" s="6471" t="s">
        <v>2419</v>
      </c>
      <c r="G314" s="6471" t="s">
        <v>28</v>
      </c>
      <c r="H314" s="6471" t="s">
        <v>28</v>
      </c>
      <c r="I314" s="6471" t="s">
        <v>991</v>
      </c>
    </row>
    <row customHeight="1" ht="11.25">
      <c r="A315" s="6471" t="s">
        <v>2387</v>
      </c>
      <c r="B315" s="6471" t="s">
        <v>16</v>
      </c>
      <c r="C315" s="6471" t="s">
        <v>28</v>
      </c>
      <c r="D315" s="6471" t="s">
        <v>2388</v>
      </c>
      <c r="E315" s="6471" t="s">
        <v>2389</v>
      </c>
      <c r="F315" s="6471" t="s">
        <v>2390</v>
      </c>
      <c r="G315" s="6471" t="s">
        <v>28</v>
      </c>
      <c r="H315" s="6471" t="s">
        <v>28</v>
      </c>
      <c r="I315" s="6471" t="s">
        <v>1044</v>
      </c>
    </row>
    <row customHeight="1" ht="11.25">
      <c r="A316" s="6471" t="s">
        <v>2387</v>
      </c>
      <c r="B316" s="6471" t="s">
        <v>16</v>
      </c>
      <c r="C316" s="6471" t="s">
        <v>2391</v>
      </c>
      <c r="D316" s="6471" t="s">
        <v>2392</v>
      </c>
      <c r="E316" s="6471" t="s">
        <v>2393</v>
      </c>
      <c r="F316" s="6471" t="s">
        <v>2394</v>
      </c>
      <c r="G316" s="6471" t="s">
        <v>28</v>
      </c>
      <c r="H316" s="6471" t="s">
        <v>28</v>
      </c>
      <c r="I316" s="6471" t="s">
        <v>1044</v>
      </c>
    </row>
    <row customHeight="1" ht="11.25">
      <c r="A317" s="6471" t="s">
        <v>2387</v>
      </c>
      <c r="B317" s="6471" t="s">
        <v>16</v>
      </c>
      <c r="C317" s="6471" t="s">
        <v>2399</v>
      </c>
      <c r="D317" s="6471" t="s">
        <v>2400</v>
      </c>
      <c r="E317" s="6471" t="s">
        <v>2401</v>
      </c>
      <c r="F317" s="6471" t="s">
        <v>2402</v>
      </c>
      <c r="G317" s="6471" t="s">
        <v>28</v>
      </c>
      <c r="H317" s="6471" t="s">
        <v>28</v>
      </c>
      <c r="I317" s="6471" t="s">
        <v>1044</v>
      </c>
    </row>
    <row customHeight="1" ht="11.25">
      <c r="A318" s="6471" t="s">
        <v>2387</v>
      </c>
      <c r="B318" s="6471" t="s">
        <v>16</v>
      </c>
      <c r="C318" s="6471" t="s">
        <v>2407</v>
      </c>
      <c r="D318" s="6471" t="s">
        <v>2404</v>
      </c>
      <c r="E318" s="6471" t="s">
        <v>2405</v>
      </c>
      <c r="F318" s="6471" t="s">
        <v>2408</v>
      </c>
      <c r="G318" s="6471" t="s">
        <v>2409</v>
      </c>
      <c r="H318" s="6471" t="s">
        <v>28</v>
      </c>
      <c r="I318" s="6471" t="s">
        <v>1044</v>
      </c>
    </row>
    <row customHeight="1" ht="11.25">
      <c r="A319" s="6471" t="s">
        <v>2387</v>
      </c>
      <c r="B319" s="6471" t="s">
        <v>16</v>
      </c>
      <c r="C319" s="6471" t="s">
        <v>2416</v>
      </c>
      <c r="D319" s="6471" t="s">
        <v>2417</v>
      </c>
      <c r="E319" s="6471" t="s">
        <v>2418</v>
      </c>
      <c r="F319" s="6471" t="s">
        <v>2419</v>
      </c>
      <c r="G319" s="6471" t="s">
        <v>28</v>
      </c>
      <c r="H319" s="6471" t="s">
        <v>28</v>
      </c>
      <c r="I319" s="6471" t="s">
        <v>1044</v>
      </c>
    </row>
    <row customHeight="1" ht="11.25">
      <c r="A320" s="6471" t="s">
        <v>2387</v>
      </c>
      <c r="B320" s="6471" t="s">
        <v>16</v>
      </c>
      <c r="C320" s="6471" t="s">
        <v>2428</v>
      </c>
      <c r="D320" s="6471" t="s">
        <v>2429</v>
      </c>
      <c r="E320" s="6471" t="s">
        <v>2430</v>
      </c>
      <c r="F320" s="6471" t="s">
        <v>2431</v>
      </c>
      <c r="G320" s="6471" t="s">
        <v>28</v>
      </c>
      <c r="H320" s="6471" t="s">
        <v>28</v>
      </c>
      <c r="I320" s="6471" t="s">
        <v>1044</v>
      </c>
    </row>
    <row customHeight="1" ht="11.25">
      <c r="A321" s="6471" t="s">
        <v>2387</v>
      </c>
      <c r="B321" s="6471" t="s">
        <v>16</v>
      </c>
      <c r="C321" s="6471" t="s">
        <v>2862</v>
      </c>
      <c r="D321" s="6471" t="s">
        <v>2863</v>
      </c>
      <c r="E321" s="6471" t="s">
        <v>2864</v>
      </c>
      <c r="F321" s="6471" t="s">
        <v>2641</v>
      </c>
      <c r="G321" s="6471" t="s">
        <v>2865</v>
      </c>
      <c r="H321" s="6471" t="s">
        <v>28</v>
      </c>
      <c r="I321" s="6471" t="s">
        <v>1044</v>
      </c>
    </row>
    <row customHeight="1" ht="11.25">
      <c r="A322" s="6471" t="s">
        <v>2387</v>
      </c>
      <c r="B322" s="6471" t="s">
        <v>16</v>
      </c>
      <c r="C322" s="6471" t="s">
        <v>3162</v>
      </c>
      <c r="D322" s="6471" t="s">
        <v>3163</v>
      </c>
      <c r="E322" s="6471" t="s">
        <v>3164</v>
      </c>
      <c r="F322" s="6471" t="s">
        <v>2390</v>
      </c>
      <c r="G322" s="6471" t="s">
        <v>28</v>
      </c>
      <c r="H322" s="6471" t="s">
        <v>28</v>
      </c>
      <c r="I322" s="6471" t="s">
        <v>1044</v>
      </c>
    </row>
    <row customHeight="1" ht="11.25">
      <c r="A323" s="6471" t="s">
        <v>2387</v>
      </c>
      <c r="B323" s="6471" t="s">
        <v>16</v>
      </c>
      <c r="C323" s="6471" t="s">
        <v>2437</v>
      </c>
      <c r="D323" s="6471" t="s">
        <v>2438</v>
      </c>
      <c r="E323" s="6471" t="s">
        <v>2439</v>
      </c>
      <c r="F323" s="6471" t="s">
        <v>2398</v>
      </c>
      <c r="G323" s="6471" t="s">
        <v>28</v>
      </c>
      <c r="H323" s="6471" t="s">
        <v>28</v>
      </c>
      <c r="I323" s="6471" t="s">
        <v>1044</v>
      </c>
    </row>
    <row customHeight="1" ht="11.25">
      <c r="A324" s="6471" t="s">
        <v>2387</v>
      </c>
      <c r="B324" s="6471" t="s">
        <v>16</v>
      </c>
      <c r="C324" s="6471" t="s">
        <v>2440</v>
      </c>
      <c r="D324" s="6471" t="s">
        <v>2441</v>
      </c>
      <c r="E324" s="6471" t="s">
        <v>2442</v>
      </c>
      <c r="F324" s="6471" t="s">
        <v>2443</v>
      </c>
      <c r="G324" s="6471" t="s">
        <v>28</v>
      </c>
      <c r="H324" s="6471" t="s">
        <v>28</v>
      </c>
      <c r="I324" s="6471" t="s">
        <v>1044</v>
      </c>
    </row>
    <row customHeight="1" ht="11.25">
      <c r="A325" s="6471" t="s">
        <v>2387</v>
      </c>
      <c r="B325" s="6471" t="s">
        <v>16</v>
      </c>
      <c r="C325" s="6471" t="s">
        <v>2866</v>
      </c>
      <c r="D325" s="6471" t="s">
        <v>2867</v>
      </c>
      <c r="E325" s="6471" t="s">
        <v>2868</v>
      </c>
      <c r="F325" s="6471" t="s">
        <v>2419</v>
      </c>
      <c r="G325" s="6471" t="s">
        <v>2869</v>
      </c>
      <c r="H325" s="6471" t="s">
        <v>28</v>
      </c>
      <c r="I325" s="6471" t="s">
        <v>1044</v>
      </c>
    </row>
    <row customHeight="1" ht="11.25">
      <c r="A326" s="6471" t="s">
        <v>2387</v>
      </c>
      <c r="B326" s="6471" t="s">
        <v>16</v>
      </c>
      <c r="C326" s="6471" t="s">
        <v>2870</v>
      </c>
      <c r="D326" s="6471" t="s">
        <v>2871</v>
      </c>
      <c r="E326" s="6471" t="s">
        <v>2872</v>
      </c>
      <c r="F326" s="6471" t="s">
        <v>2398</v>
      </c>
      <c r="G326" s="6471" t="s">
        <v>28</v>
      </c>
      <c r="H326" s="6471" t="s">
        <v>28</v>
      </c>
      <c r="I326" s="6471" t="s">
        <v>1044</v>
      </c>
    </row>
    <row customHeight="1" ht="11.25">
      <c r="A327" s="6471" t="s">
        <v>2387</v>
      </c>
      <c r="B327" s="6471" t="s">
        <v>16</v>
      </c>
      <c r="C327" s="6471" t="s">
        <v>2457</v>
      </c>
      <c r="D327" s="6471" t="s">
        <v>2458</v>
      </c>
      <c r="E327" s="6471" t="s">
        <v>2459</v>
      </c>
      <c r="F327" s="6471" t="s">
        <v>2460</v>
      </c>
      <c r="G327" s="6471" t="s">
        <v>28</v>
      </c>
      <c r="H327" s="6471" t="s">
        <v>28</v>
      </c>
      <c r="I327" s="6471" t="s">
        <v>1044</v>
      </c>
    </row>
    <row customHeight="1" ht="11.25">
      <c r="A328" s="6471" t="s">
        <v>2387</v>
      </c>
      <c r="B328" s="6471" t="s">
        <v>16</v>
      </c>
      <c r="C328" s="6471" t="s">
        <v>2873</v>
      </c>
      <c r="D328" s="6471" t="s">
        <v>2874</v>
      </c>
      <c r="E328" s="6471" t="s">
        <v>2875</v>
      </c>
      <c r="F328" s="6471" t="s">
        <v>2836</v>
      </c>
      <c r="G328" s="6471" t="s">
        <v>2876</v>
      </c>
      <c r="H328" s="6471" t="s">
        <v>28</v>
      </c>
      <c r="I328" s="6471" t="s">
        <v>1044</v>
      </c>
    </row>
    <row customHeight="1" ht="11.25">
      <c r="A329" s="6471" t="s">
        <v>2387</v>
      </c>
      <c r="B329" s="6471" t="s">
        <v>16</v>
      </c>
      <c r="C329" s="6471" t="s">
        <v>2469</v>
      </c>
      <c r="D329" s="6471" t="s">
        <v>2470</v>
      </c>
      <c r="E329" s="6471" t="s">
        <v>2471</v>
      </c>
      <c r="F329" s="6471" t="s">
        <v>2390</v>
      </c>
      <c r="G329" s="6471" t="s">
        <v>2472</v>
      </c>
      <c r="H329" s="6471" t="s">
        <v>28</v>
      </c>
      <c r="I329" s="6471" t="s">
        <v>1044</v>
      </c>
    </row>
    <row customHeight="1" ht="11.25">
      <c r="A330" s="6471" t="s">
        <v>2387</v>
      </c>
      <c r="B330" s="6471" t="s">
        <v>16</v>
      </c>
      <c r="C330" s="6471" t="s">
        <v>2877</v>
      </c>
      <c r="D330" s="6471" t="s">
        <v>2878</v>
      </c>
      <c r="E330" s="6471" t="s">
        <v>2879</v>
      </c>
      <c r="F330" s="6471" t="s">
        <v>2880</v>
      </c>
      <c r="G330" s="6471" t="s">
        <v>28</v>
      </c>
      <c r="H330" s="6471" t="s">
        <v>28</v>
      </c>
      <c r="I330" s="6471" t="s">
        <v>1044</v>
      </c>
    </row>
    <row customHeight="1" ht="11.25">
      <c r="A331" s="6471" t="s">
        <v>2387</v>
      </c>
      <c r="B331" s="6471" t="s">
        <v>16</v>
      </c>
      <c r="C331" s="6471" t="s">
        <v>2491</v>
      </c>
      <c r="D331" s="6471" t="s">
        <v>2492</v>
      </c>
      <c r="E331" s="6471" t="s">
        <v>2489</v>
      </c>
      <c r="F331" s="6471" t="s">
        <v>2493</v>
      </c>
      <c r="G331" s="6471" t="s">
        <v>28</v>
      </c>
      <c r="H331" s="6471" t="s">
        <v>28</v>
      </c>
      <c r="I331" s="6471" t="s">
        <v>1044</v>
      </c>
    </row>
    <row customHeight="1" ht="11.25">
      <c r="A332" s="6471" t="s">
        <v>2387</v>
      </c>
      <c r="B332" s="6471" t="s">
        <v>16</v>
      </c>
      <c r="C332" s="6471" t="s">
        <v>2881</v>
      </c>
      <c r="D332" s="6471" t="s">
        <v>2882</v>
      </c>
      <c r="E332" s="6471" t="s">
        <v>2883</v>
      </c>
      <c r="F332" s="6471" t="s">
        <v>2531</v>
      </c>
      <c r="G332" s="6471" t="s">
        <v>28</v>
      </c>
      <c r="H332" s="6471" t="s">
        <v>28</v>
      </c>
      <c r="I332" s="6471" t="s">
        <v>1044</v>
      </c>
    </row>
    <row customHeight="1" ht="11.25">
      <c r="A333" s="6471" t="s">
        <v>2387</v>
      </c>
      <c r="B333" s="6471" t="s">
        <v>16</v>
      </c>
      <c r="C333" s="6471" t="s">
        <v>2887</v>
      </c>
      <c r="D333" s="6471" t="s">
        <v>2888</v>
      </c>
      <c r="E333" s="6471" t="s">
        <v>2889</v>
      </c>
      <c r="F333" s="6471" t="s">
        <v>713</v>
      </c>
      <c r="G333" s="6471" t="s">
        <v>28</v>
      </c>
      <c r="H333" s="6471" t="s">
        <v>28</v>
      </c>
      <c r="I333" s="6471" t="s">
        <v>1044</v>
      </c>
    </row>
    <row customHeight="1" ht="11.25">
      <c r="A334" s="6471" t="s">
        <v>2387</v>
      </c>
      <c r="B334" s="6471" t="s">
        <v>16</v>
      </c>
      <c r="C334" s="6471" t="s">
        <v>2893</v>
      </c>
      <c r="D334" s="6471" t="s">
        <v>49</v>
      </c>
      <c r="E334" s="6471" t="s">
        <v>52</v>
      </c>
      <c r="F334" s="6471" t="s">
        <v>2894</v>
      </c>
      <c r="G334" s="6471" t="s">
        <v>28</v>
      </c>
      <c r="H334" s="6471" t="s">
        <v>28</v>
      </c>
      <c r="I334" s="6471" t="s">
        <v>1044</v>
      </c>
    </row>
    <row customHeight="1" ht="11.25">
      <c r="A335" s="6471" t="s">
        <v>2387</v>
      </c>
      <c r="B335" s="6471" t="s">
        <v>16</v>
      </c>
      <c r="C335" s="6471" t="s">
        <v>2843</v>
      </c>
      <c r="D335" s="6471" t="s">
        <v>49</v>
      </c>
      <c r="E335" s="6471" t="s">
        <v>52</v>
      </c>
      <c r="F335" s="6471" t="s">
        <v>2844</v>
      </c>
      <c r="G335" s="6471" t="s">
        <v>28</v>
      </c>
      <c r="H335" s="6471" t="s">
        <v>28</v>
      </c>
      <c r="I335" s="6471" t="s">
        <v>1044</v>
      </c>
    </row>
    <row customHeight="1" ht="11.25">
      <c r="A336" s="6471" t="s">
        <v>2387</v>
      </c>
      <c r="B336" s="6471" t="s">
        <v>16</v>
      </c>
      <c r="C336" s="6471" t="s">
        <v>2845</v>
      </c>
      <c r="D336" s="6471" t="s">
        <v>49</v>
      </c>
      <c r="E336" s="6471" t="s">
        <v>52</v>
      </c>
      <c r="F336" s="6471" t="s">
        <v>2846</v>
      </c>
      <c r="G336" s="6471" t="s">
        <v>28</v>
      </c>
      <c r="H336" s="6471" t="s">
        <v>28</v>
      </c>
      <c r="I336" s="6471" t="s">
        <v>1044</v>
      </c>
    </row>
    <row customHeight="1" ht="11.25">
      <c r="A337" s="6471" t="s">
        <v>2387</v>
      </c>
      <c r="B337" s="6471" t="s">
        <v>16</v>
      </c>
      <c r="C337" s="6471" t="s">
        <v>2847</v>
      </c>
      <c r="D337" s="6471" t="s">
        <v>49</v>
      </c>
      <c r="E337" s="6471" t="s">
        <v>52</v>
      </c>
      <c r="F337" s="6471" t="s">
        <v>2848</v>
      </c>
      <c r="G337" s="6471" t="s">
        <v>28</v>
      </c>
      <c r="H337" s="6471" t="s">
        <v>28</v>
      </c>
      <c r="I337" s="6471" t="s">
        <v>1044</v>
      </c>
    </row>
    <row customHeight="1" ht="11.25">
      <c r="A338" s="6471" t="s">
        <v>2387</v>
      </c>
      <c r="B338" s="6471" t="s">
        <v>16</v>
      </c>
      <c r="C338" s="6471" t="s">
        <v>2895</v>
      </c>
      <c r="D338" s="6471" t="s">
        <v>49</v>
      </c>
      <c r="E338" s="6471" t="s">
        <v>52</v>
      </c>
      <c r="F338" s="6471" t="s">
        <v>2896</v>
      </c>
      <c r="G338" s="6471" t="s">
        <v>28</v>
      </c>
      <c r="H338" s="6471" t="s">
        <v>28</v>
      </c>
      <c r="I338" s="6471" t="s">
        <v>1044</v>
      </c>
    </row>
    <row customHeight="1" ht="11.25">
      <c r="A339" s="6471" t="s">
        <v>2387</v>
      </c>
      <c r="B339" s="6471" t="s">
        <v>16</v>
      </c>
      <c r="C339" s="6471" t="s">
        <v>2849</v>
      </c>
      <c r="D339" s="6471" t="s">
        <v>49</v>
      </c>
      <c r="E339" s="6471" t="s">
        <v>52</v>
      </c>
      <c r="F339" s="6471" t="s">
        <v>2850</v>
      </c>
      <c r="G339" s="6471" t="s">
        <v>28</v>
      </c>
      <c r="H339" s="6471" t="s">
        <v>28</v>
      </c>
      <c r="I339" s="6471" t="s">
        <v>1044</v>
      </c>
    </row>
    <row customHeight="1" ht="11.25">
      <c r="A340" s="6471" t="s">
        <v>2387</v>
      </c>
      <c r="B340" s="6471" t="s">
        <v>16</v>
      </c>
      <c r="C340" s="6471" t="s">
        <v>2851</v>
      </c>
      <c r="D340" s="6471" t="s">
        <v>49</v>
      </c>
      <c r="E340" s="6471" t="s">
        <v>52</v>
      </c>
      <c r="F340" s="6471" t="s">
        <v>2852</v>
      </c>
      <c r="G340" s="6471" t="s">
        <v>28</v>
      </c>
      <c r="H340" s="6471" t="s">
        <v>28</v>
      </c>
      <c r="I340" s="6471" t="s">
        <v>1044</v>
      </c>
    </row>
    <row customHeight="1" ht="11.25">
      <c r="A341" s="6471" t="s">
        <v>2387</v>
      </c>
      <c r="B341" s="6471" t="s">
        <v>16</v>
      </c>
      <c r="C341" s="6471" t="s">
        <v>2853</v>
      </c>
      <c r="D341" s="6471" t="s">
        <v>49</v>
      </c>
      <c r="E341" s="6471" t="s">
        <v>52</v>
      </c>
      <c r="F341" s="6471" t="s">
        <v>2854</v>
      </c>
      <c r="G341" s="6471" t="s">
        <v>28</v>
      </c>
      <c r="H341" s="6471" t="s">
        <v>28</v>
      </c>
      <c r="I341" s="6471" t="s">
        <v>1044</v>
      </c>
    </row>
    <row customHeight="1" ht="11.25">
      <c r="A342" s="6471" t="s">
        <v>2387</v>
      </c>
      <c r="B342" s="6471" t="s">
        <v>16</v>
      </c>
      <c r="C342" s="6471" t="s">
        <v>2855</v>
      </c>
      <c r="D342" s="6471" t="s">
        <v>49</v>
      </c>
      <c r="E342" s="6471" t="s">
        <v>52</v>
      </c>
      <c r="F342" s="6471" t="s">
        <v>2856</v>
      </c>
      <c r="G342" s="6471" t="s">
        <v>28</v>
      </c>
      <c r="H342" s="6471" t="s">
        <v>28</v>
      </c>
      <c r="I342" s="6471" t="s">
        <v>1044</v>
      </c>
    </row>
    <row customHeight="1" ht="11.25">
      <c r="A343" s="6471" t="s">
        <v>2387</v>
      </c>
      <c r="B343" s="6471" t="s">
        <v>16</v>
      </c>
      <c r="C343" s="6471" t="s">
        <v>2857</v>
      </c>
      <c r="D343" s="6471" t="s">
        <v>49</v>
      </c>
      <c r="E343" s="6471" t="s">
        <v>52</v>
      </c>
      <c r="F343" s="6471" t="s">
        <v>2858</v>
      </c>
      <c r="G343" s="6471" t="s">
        <v>28</v>
      </c>
      <c r="H343" s="6471" t="s">
        <v>28</v>
      </c>
      <c r="I343" s="6471" t="s">
        <v>1044</v>
      </c>
    </row>
    <row customHeight="1" ht="11.25">
      <c r="A344" s="6471" t="s">
        <v>2387</v>
      </c>
      <c r="B344" s="6471" t="s">
        <v>16</v>
      </c>
      <c r="C344" s="6471" t="s">
        <v>13</v>
      </c>
      <c r="D344" s="6471" t="s">
        <v>49</v>
      </c>
      <c r="E344" s="6471" t="s">
        <v>52</v>
      </c>
      <c r="F344" s="6471" t="s">
        <v>54</v>
      </c>
      <c r="G344" s="6471" t="s">
        <v>28</v>
      </c>
      <c r="H344" s="6471" t="s">
        <v>28</v>
      </c>
      <c r="I344" s="6471" t="s">
        <v>1044</v>
      </c>
    </row>
    <row customHeight="1" ht="11.25">
      <c r="A345" s="6471" t="s">
        <v>2387</v>
      </c>
      <c r="B345" s="6471" t="s">
        <v>16</v>
      </c>
      <c r="C345" s="6471" t="s">
        <v>2897</v>
      </c>
      <c r="D345" s="6471" t="s">
        <v>2898</v>
      </c>
      <c r="E345" s="6471" t="s">
        <v>2899</v>
      </c>
      <c r="F345" s="6471" t="s">
        <v>2419</v>
      </c>
      <c r="G345" s="6471" t="s">
        <v>28</v>
      </c>
      <c r="H345" s="6471" t="s">
        <v>28</v>
      </c>
      <c r="I345" s="6471" t="s">
        <v>1044</v>
      </c>
    </row>
    <row customHeight="1" ht="11.25">
      <c r="A346" s="6471" t="s">
        <v>2387</v>
      </c>
      <c r="B346" s="6471" t="s">
        <v>16</v>
      </c>
      <c r="C346" s="6471" t="s">
        <v>2900</v>
      </c>
      <c r="D346" s="6471" t="s">
        <v>2898</v>
      </c>
      <c r="E346" s="6471" t="s">
        <v>2899</v>
      </c>
      <c r="F346" s="6471" t="s">
        <v>2901</v>
      </c>
      <c r="G346" s="6471" t="s">
        <v>28</v>
      </c>
      <c r="H346" s="6471" t="s">
        <v>28</v>
      </c>
      <c r="I346" s="6471" t="s">
        <v>1044</v>
      </c>
    </row>
    <row customHeight="1" ht="11.25">
      <c r="A347" s="6471" t="s">
        <v>2387</v>
      </c>
      <c r="B347" s="6471" t="s">
        <v>16</v>
      </c>
      <c r="C347" s="6471" t="s">
        <v>2902</v>
      </c>
      <c r="D347" s="6471" t="s">
        <v>2860</v>
      </c>
      <c r="E347" s="6471" t="s">
        <v>52</v>
      </c>
      <c r="F347" s="6471" t="s">
        <v>2903</v>
      </c>
      <c r="G347" s="6471" t="s">
        <v>28</v>
      </c>
      <c r="H347" s="6471" t="s">
        <v>28</v>
      </c>
      <c r="I347" s="6471" t="s">
        <v>1044</v>
      </c>
    </row>
    <row customHeight="1" ht="11.25">
      <c r="A348" s="6471" t="s">
        <v>2387</v>
      </c>
      <c r="B348" s="6471" t="s">
        <v>16</v>
      </c>
      <c r="C348" s="6471" t="s">
        <v>2859</v>
      </c>
      <c r="D348" s="6471" t="s">
        <v>2860</v>
      </c>
      <c r="E348" s="6471" t="s">
        <v>52</v>
      </c>
      <c r="F348" s="6471" t="s">
        <v>2861</v>
      </c>
      <c r="G348" s="6471" t="s">
        <v>28</v>
      </c>
      <c r="H348" s="6471" t="s">
        <v>28</v>
      </c>
      <c r="I348" s="6471" t="s">
        <v>1044</v>
      </c>
    </row>
    <row customHeight="1" ht="11.25">
      <c r="A349" s="6471" t="s">
        <v>2387</v>
      </c>
      <c r="B349" s="6471" t="s">
        <v>16</v>
      </c>
      <c r="C349" s="6471" t="s">
        <v>3165</v>
      </c>
      <c r="D349" s="6471" t="s">
        <v>3166</v>
      </c>
      <c r="E349" s="6471" t="s">
        <v>3167</v>
      </c>
      <c r="F349" s="6471" t="s">
        <v>2658</v>
      </c>
      <c r="G349" s="6471" t="s">
        <v>3168</v>
      </c>
      <c r="H349" s="6471" t="s">
        <v>28</v>
      </c>
      <c r="I349" s="6471" t="s">
        <v>1044</v>
      </c>
    </row>
    <row customHeight="1" ht="11.25">
      <c r="A350" s="6471" t="s">
        <v>2387</v>
      </c>
      <c r="B350" s="6471" t="s">
        <v>16</v>
      </c>
      <c r="C350" s="6471" t="s">
        <v>2907</v>
      </c>
      <c r="D350" s="6471" t="s">
        <v>2908</v>
      </c>
      <c r="E350" s="6471" t="s">
        <v>2909</v>
      </c>
      <c r="F350" s="6471" t="s">
        <v>2628</v>
      </c>
      <c r="G350" s="6471" t="s">
        <v>28</v>
      </c>
      <c r="H350" s="6471" t="s">
        <v>28</v>
      </c>
      <c r="I350" s="6471" t="s">
        <v>1044</v>
      </c>
    </row>
    <row customHeight="1" ht="11.25">
      <c r="A351" s="6471" t="s">
        <v>2387</v>
      </c>
      <c r="B351" s="6471" t="s">
        <v>16</v>
      </c>
      <c r="C351" s="6471" t="s">
        <v>2910</v>
      </c>
      <c r="D351" s="6471" t="s">
        <v>2911</v>
      </c>
      <c r="E351" s="6471" t="s">
        <v>2912</v>
      </c>
      <c r="F351" s="6471" t="s">
        <v>2754</v>
      </c>
      <c r="G351" s="6471" t="s">
        <v>28</v>
      </c>
      <c r="H351" s="6471" t="s">
        <v>28</v>
      </c>
      <c r="I351" s="6471" t="s">
        <v>1044</v>
      </c>
    </row>
    <row customHeight="1" ht="11.25">
      <c r="A352" s="6471" t="s">
        <v>2387</v>
      </c>
      <c r="B352" s="6471" t="s">
        <v>16</v>
      </c>
      <c r="C352" s="6471" t="s">
        <v>2913</v>
      </c>
      <c r="D352" s="6471" t="s">
        <v>2914</v>
      </c>
      <c r="E352" s="6471" t="s">
        <v>2915</v>
      </c>
      <c r="F352" s="6471" t="s">
        <v>2452</v>
      </c>
      <c r="G352" s="6471" t="s">
        <v>28</v>
      </c>
      <c r="H352" s="6471" t="s">
        <v>28</v>
      </c>
      <c r="I352" s="6471" t="s">
        <v>1044</v>
      </c>
    </row>
    <row customHeight="1" ht="11.25">
      <c r="A353" s="6471" t="s">
        <v>2387</v>
      </c>
      <c r="B353" s="6471" t="s">
        <v>16</v>
      </c>
      <c r="C353" s="6471" t="s">
        <v>2916</v>
      </c>
      <c r="D353" s="6471" t="s">
        <v>2917</v>
      </c>
      <c r="E353" s="6471" t="s">
        <v>2918</v>
      </c>
      <c r="F353" s="6471" t="s">
        <v>2548</v>
      </c>
      <c r="G353" s="6471" t="s">
        <v>28</v>
      </c>
      <c r="H353" s="6471" t="s">
        <v>28</v>
      </c>
      <c r="I353" s="6471" t="s">
        <v>1044</v>
      </c>
    </row>
    <row customHeight="1" ht="11.25">
      <c r="A354" s="6471" t="s">
        <v>2387</v>
      </c>
      <c r="B354" s="6471" t="s">
        <v>16</v>
      </c>
      <c r="C354" s="6471" t="s">
        <v>2923</v>
      </c>
      <c r="D354" s="6471" t="s">
        <v>2924</v>
      </c>
      <c r="E354" s="6471" t="s">
        <v>2925</v>
      </c>
      <c r="F354" s="6471" t="s">
        <v>2452</v>
      </c>
      <c r="G354" s="6471" t="s">
        <v>28</v>
      </c>
      <c r="H354" s="6471" t="s">
        <v>28</v>
      </c>
      <c r="I354" s="6471" t="s">
        <v>1044</v>
      </c>
    </row>
    <row customHeight="1" ht="11.25">
      <c r="A355" s="6471" t="s">
        <v>2387</v>
      </c>
      <c r="B355" s="6471" t="s">
        <v>16</v>
      </c>
      <c r="C355" s="6471" t="s">
        <v>2545</v>
      </c>
      <c r="D355" s="6471" t="s">
        <v>2546</v>
      </c>
      <c r="E355" s="6471" t="s">
        <v>2547</v>
      </c>
      <c r="F355" s="6471" t="s">
        <v>2548</v>
      </c>
      <c r="G355" s="6471" t="s">
        <v>28</v>
      </c>
      <c r="H355" s="6471" t="s">
        <v>28</v>
      </c>
      <c r="I355" s="6471" t="s">
        <v>1044</v>
      </c>
    </row>
    <row customHeight="1" ht="11.25">
      <c r="A356" s="6471" t="s">
        <v>2387</v>
      </c>
      <c r="B356" s="6471" t="s">
        <v>16</v>
      </c>
      <c r="C356" s="6471" t="s">
        <v>2926</v>
      </c>
      <c r="D356" s="6471" t="s">
        <v>2927</v>
      </c>
      <c r="E356" s="6471" t="s">
        <v>2928</v>
      </c>
      <c r="F356" s="6471" t="s">
        <v>2565</v>
      </c>
      <c r="G356" s="6471" t="s">
        <v>2929</v>
      </c>
      <c r="H356" s="6471" t="s">
        <v>28</v>
      </c>
      <c r="I356" s="6471" t="s">
        <v>1044</v>
      </c>
    </row>
    <row customHeight="1" ht="11.25">
      <c r="A357" s="6471" t="s">
        <v>2387</v>
      </c>
      <c r="B357" s="6471" t="s">
        <v>16</v>
      </c>
      <c r="C357" s="6471" t="s">
        <v>2930</v>
      </c>
      <c r="D357" s="6471" t="s">
        <v>2931</v>
      </c>
      <c r="E357" s="6471" t="s">
        <v>2932</v>
      </c>
      <c r="F357" s="6471" t="s">
        <v>2933</v>
      </c>
      <c r="G357" s="6471" t="s">
        <v>28</v>
      </c>
      <c r="H357" s="6471" t="s">
        <v>28</v>
      </c>
      <c r="I357" s="6471" t="s">
        <v>1044</v>
      </c>
    </row>
    <row customHeight="1" ht="11.25">
      <c r="A358" s="6471" t="s">
        <v>2387</v>
      </c>
      <c r="B358" s="6471" t="s">
        <v>16</v>
      </c>
      <c r="C358" s="6471" t="s">
        <v>2934</v>
      </c>
      <c r="D358" s="6471" t="s">
        <v>2935</v>
      </c>
      <c r="E358" s="6471" t="s">
        <v>2936</v>
      </c>
      <c r="F358" s="6471" t="s">
        <v>2565</v>
      </c>
      <c r="G358" s="6471" t="s">
        <v>28</v>
      </c>
      <c r="H358" s="6471" t="s">
        <v>2937</v>
      </c>
      <c r="I358" s="6471" t="s">
        <v>1044</v>
      </c>
    </row>
    <row customHeight="1" ht="11.25">
      <c r="A359" s="6471" t="s">
        <v>2387</v>
      </c>
      <c r="B359" s="6471" t="s">
        <v>16</v>
      </c>
      <c r="C359" s="6471" t="s">
        <v>2938</v>
      </c>
      <c r="D359" s="6471" t="s">
        <v>2939</v>
      </c>
      <c r="E359" s="6471" t="s">
        <v>2940</v>
      </c>
      <c r="F359" s="6471" t="s">
        <v>2431</v>
      </c>
      <c r="G359" s="6471" t="s">
        <v>2941</v>
      </c>
      <c r="H359" s="6471" t="s">
        <v>28</v>
      </c>
      <c r="I359" s="6471" t="s">
        <v>1044</v>
      </c>
    </row>
    <row customHeight="1" ht="11.25">
      <c r="A360" s="6471" t="s">
        <v>2387</v>
      </c>
      <c r="B360" s="6471" t="s">
        <v>16</v>
      </c>
      <c r="C360" s="6471" t="s">
        <v>2942</v>
      </c>
      <c r="D360" s="6471" t="s">
        <v>2943</v>
      </c>
      <c r="E360" s="6471" t="s">
        <v>2944</v>
      </c>
      <c r="F360" s="6471" t="s">
        <v>2431</v>
      </c>
      <c r="G360" s="6471" t="s">
        <v>2945</v>
      </c>
      <c r="H360" s="6471" t="s">
        <v>28</v>
      </c>
      <c r="I360" s="6471" t="s">
        <v>1044</v>
      </c>
    </row>
    <row customHeight="1" ht="11.25">
      <c r="A361" s="6471" t="s">
        <v>2387</v>
      </c>
      <c r="B361" s="6471" t="s">
        <v>16</v>
      </c>
      <c r="C361" s="6471" t="s">
        <v>2552</v>
      </c>
      <c r="D361" s="6471" t="s">
        <v>2553</v>
      </c>
      <c r="E361" s="6471" t="s">
        <v>2554</v>
      </c>
      <c r="F361" s="6471" t="s">
        <v>2555</v>
      </c>
      <c r="G361" s="6471" t="s">
        <v>28</v>
      </c>
      <c r="H361" s="6471" t="s">
        <v>28</v>
      </c>
      <c r="I361" s="6471" t="s">
        <v>1044</v>
      </c>
    </row>
    <row customHeight="1" ht="11.25">
      <c r="A362" s="6471" t="s">
        <v>2387</v>
      </c>
      <c r="B362" s="6471" t="s">
        <v>16</v>
      </c>
      <c r="C362" s="6471" t="s">
        <v>3169</v>
      </c>
      <c r="D362" s="6471" t="s">
        <v>3170</v>
      </c>
      <c r="E362" s="6471" t="s">
        <v>3171</v>
      </c>
      <c r="F362" s="6471" t="s">
        <v>2565</v>
      </c>
      <c r="G362" s="6471" t="s">
        <v>28</v>
      </c>
      <c r="H362" s="6471" t="s">
        <v>28</v>
      </c>
      <c r="I362" s="6471" t="s">
        <v>1044</v>
      </c>
    </row>
    <row customHeight="1" ht="11.25">
      <c r="A363" s="6471" t="s">
        <v>2387</v>
      </c>
      <c r="B363" s="6471" t="s">
        <v>16</v>
      </c>
      <c r="C363" s="6471" t="s">
        <v>2556</v>
      </c>
      <c r="D363" s="6471" t="s">
        <v>2557</v>
      </c>
      <c r="E363" s="6471" t="s">
        <v>2558</v>
      </c>
      <c r="F363" s="6471" t="s">
        <v>2427</v>
      </c>
      <c r="G363" s="6471" t="s">
        <v>28</v>
      </c>
      <c r="H363" s="6471" t="s">
        <v>28</v>
      </c>
      <c r="I363" s="6471" t="s">
        <v>1044</v>
      </c>
    </row>
    <row customHeight="1" ht="11.25">
      <c r="A364" s="6471" t="s">
        <v>2387</v>
      </c>
      <c r="B364" s="6471" t="s">
        <v>16</v>
      </c>
      <c r="C364" s="6471" t="s">
        <v>2559</v>
      </c>
      <c r="D364" s="6471" t="s">
        <v>2560</v>
      </c>
      <c r="E364" s="6471" t="s">
        <v>2561</v>
      </c>
      <c r="F364" s="6471" t="s">
        <v>2427</v>
      </c>
      <c r="G364" s="6471" t="s">
        <v>28</v>
      </c>
      <c r="H364" s="6471" t="s">
        <v>28</v>
      </c>
      <c r="I364" s="6471" t="s">
        <v>1044</v>
      </c>
    </row>
    <row customHeight="1" ht="11.25">
      <c r="A365" s="6471" t="s">
        <v>2387</v>
      </c>
      <c r="B365" s="6471" t="s">
        <v>16</v>
      </c>
      <c r="C365" s="6471" t="s">
        <v>2562</v>
      </c>
      <c r="D365" s="6471" t="s">
        <v>2563</v>
      </c>
      <c r="E365" s="6471" t="s">
        <v>2564</v>
      </c>
      <c r="F365" s="6471" t="s">
        <v>2565</v>
      </c>
      <c r="G365" s="6471" t="s">
        <v>28</v>
      </c>
      <c r="H365" s="6471" t="s">
        <v>28</v>
      </c>
      <c r="I365" s="6471" t="s">
        <v>1044</v>
      </c>
    </row>
    <row customHeight="1" ht="11.25">
      <c r="A366" s="6471" t="s">
        <v>2387</v>
      </c>
      <c r="B366" s="6471" t="s">
        <v>16</v>
      </c>
      <c r="C366" s="6471" t="s">
        <v>2946</v>
      </c>
      <c r="D366" s="6471" t="s">
        <v>2947</v>
      </c>
      <c r="E366" s="6471" t="s">
        <v>2948</v>
      </c>
      <c r="F366" s="6471" t="s">
        <v>2497</v>
      </c>
      <c r="G366" s="6471" t="s">
        <v>28</v>
      </c>
      <c r="H366" s="6471" t="s">
        <v>28</v>
      </c>
      <c r="I366" s="6471" t="s">
        <v>1044</v>
      </c>
    </row>
    <row customHeight="1" ht="11.25">
      <c r="A367" s="6471" t="s">
        <v>2387</v>
      </c>
      <c r="B367" s="6471" t="s">
        <v>16</v>
      </c>
      <c r="C367" s="6471" t="s">
        <v>2949</v>
      </c>
      <c r="D367" s="6471" t="s">
        <v>2950</v>
      </c>
      <c r="E367" s="6471" t="s">
        <v>2951</v>
      </c>
      <c r="F367" s="6471" t="s">
        <v>2460</v>
      </c>
      <c r="G367" s="6471" t="s">
        <v>2952</v>
      </c>
      <c r="H367" s="6471" t="s">
        <v>28</v>
      </c>
      <c r="I367" s="6471" t="s">
        <v>1044</v>
      </c>
    </row>
    <row customHeight="1" ht="11.25">
      <c r="A368" s="6471" t="s">
        <v>2387</v>
      </c>
      <c r="B368" s="6471" t="s">
        <v>16</v>
      </c>
      <c r="C368" s="6471" t="s">
        <v>2953</v>
      </c>
      <c r="D368" s="6471" t="s">
        <v>2954</v>
      </c>
      <c r="E368" s="6471" t="s">
        <v>2955</v>
      </c>
      <c r="F368" s="6471" t="s">
        <v>2523</v>
      </c>
      <c r="G368" s="6471" t="s">
        <v>2956</v>
      </c>
      <c r="H368" s="6471" t="s">
        <v>28</v>
      </c>
      <c r="I368" s="6471" t="s">
        <v>1044</v>
      </c>
    </row>
    <row customHeight="1" ht="11.25">
      <c r="A369" s="6471" t="s">
        <v>2387</v>
      </c>
      <c r="B369" s="6471" t="s">
        <v>16</v>
      </c>
      <c r="C369" s="6471" t="s">
        <v>2566</v>
      </c>
      <c r="D369" s="6471" t="s">
        <v>2567</v>
      </c>
      <c r="E369" s="6471" t="s">
        <v>2568</v>
      </c>
      <c r="F369" s="6471" t="s">
        <v>2431</v>
      </c>
      <c r="G369" s="6471" t="s">
        <v>28</v>
      </c>
      <c r="H369" s="6471" t="s">
        <v>28</v>
      </c>
      <c r="I369" s="6471" t="s">
        <v>1044</v>
      </c>
    </row>
    <row customHeight="1" ht="11.25">
      <c r="A370" s="6471" t="s">
        <v>2387</v>
      </c>
      <c r="B370" s="6471" t="s">
        <v>16</v>
      </c>
      <c r="C370" s="6471" t="s">
        <v>2957</v>
      </c>
      <c r="D370" s="6471" t="s">
        <v>2958</v>
      </c>
      <c r="E370" s="6471" t="s">
        <v>2959</v>
      </c>
      <c r="F370" s="6471" t="s">
        <v>2922</v>
      </c>
      <c r="G370" s="6471" t="s">
        <v>28</v>
      </c>
      <c r="H370" s="6471" t="s">
        <v>28</v>
      </c>
      <c r="I370" s="6471" t="s">
        <v>1044</v>
      </c>
    </row>
    <row customHeight="1" ht="11.25">
      <c r="A371" s="6471" t="s">
        <v>2387</v>
      </c>
      <c r="B371" s="6471" t="s">
        <v>16</v>
      </c>
      <c r="C371" s="6471" t="s">
        <v>2569</v>
      </c>
      <c r="D371" s="6471" t="s">
        <v>2570</v>
      </c>
      <c r="E371" s="6471" t="s">
        <v>2571</v>
      </c>
      <c r="F371" s="6471" t="s">
        <v>2555</v>
      </c>
      <c r="G371" s="6471" t="s">
        <v>28</v>
      </c>
      <c r="H371" s="6471" t="s">
        <v>28</v>
      </c>
      <c r="I371" s="6471" t="s">
        <v>1044</v>
      </c>
    </row>
    <row customHeight="1" ht="11.25">
      <c r="A372" s="6471" t="s">
        <v>2387</v>
      </c>
      <c r="B372" s="6471" t="s">
        <v>16</v>
      </c>
      <c r="C372" s="6471" t="s">
        <v>2960</v>
      </c>
      <c r="D372" s="6471" t="s">
        <v>2961</v>
      </c>
      <c r="E372" s="6471" t="s">
        <v>2962</v>
      </c>
      <c r="F372" s="6471" t="s">
        <v>2460</v>
      </c>
      <c r="G372" s="6471" t="s">
        <v>28</v>
      </c>
      <c r="H372" s="6471" t="s">
        <v>28</v>
      </c>
      <c r="I372" s="6471" t="s">
        <v>1044</v>
      </c>
    </row>
    <row customHeight="1" ht="11.25">
      <c r="A373" s="6471" t="s">
        <v>2387</v>
      </c>
      <c r="B373" s="6471" t="s">
        <v>16</v>
      </c>
      <c r="C373" s="6471" t="s">
        <v>2963</v>
      </c>
      <c r="D373" s="6471" t="s">
        <v>2964</v>
      </c>
      <c r="E373" s="6471" t="s">
        <v>2965</v>
      </c>
      <c r="F373" s="6471" t="s">
        <v>2836</v>
      </c>
      <c r="G373" s="6471" t="s">
        <v>28</v>
      </c>
      <c r="H373" s="6471" t="s">
        <v>28</v>
      </c>
      <c r="I373" s="6471" t="s">
        <v>1044</v>
      </c>
    </row>
    <row customHeight="1" ht="11.25">
      <c r="A374" s="6471" t="s">
        <v>2387</v>
      </c>
      <c r="B374" s="6471" t="s">
        <v>16</v>
      </c>
      <c r="C374" s="6471" t="s">
        <v>2966</v>
      </c>
      <c r="D374" s="6471" t="s">
        <v>2967</v>
      </c>
      <c r="E374" s="6471" t="s">
        <v>2968</v>
      </c>
      <c r="F374" s="6471" t="s">
        <v>2394</v>
      </c>
      <c r="G374" s="6471" t="s">
        <v>28</v>
      </c>
      <c r="H374" s="6471" t="s">
        <v>28</v>
      </c>
      <c r="I374" s="6471" t="s">
        <v>1044</v>
      </c>
    </row>
    <row customHeight="1" ht="11.25">
      <c r="A375" s="6471" t="s">
        <v>2387</v>
      </c>
      <c r="B375" s="6471" t="s">
        <v>16</v>
      </c>
      <c r="C375" s="6471" t="s">
        <v>2572</v>
      </c>
      <c r="D375" s="6471" t="s">
        <v>2573</v>
      </c>
      <c r="E375" s="6471" t="s">
        <v>2574</v>
      </c>
      <c r="F375" s="6471" t="s">
        <v>2511</v>
      </c>
      <c r="G375" s="6471" t="s">
        <v>28</v>
      </c>
      <c r="H375" s="6471" t="s">
        <v>28</v>
      </c>
      <c r="I375" s="6471" t="s">
        <v>1044</v>
      </c>
    </row>
    <row customHeight="1" ht="11.25">
      <c r="A376" s="6471" t="s">
        <v>2387</v>
      </c>
      <c r="B376" s="6471" t="s">
        <v>16</v>
      </c>
      <c r="C376" s="6471" t="s">
        <v>2969</v>
      </c>
      <c r="D376" s="6471" t="s">
        <v>2970</v>
      </c>
      <c r="E376" s="6471" t="s">
        <v>2971</v>
      </c>
      <c r="F376" s="6471" t="s">
        <v>2836</v>
      </c>
      <c r="G376" s="6471" t="s">
        <v>28</v>
      </c>
      <c r="H376" s="6471" t="s">
        <v>28</v>
      </c>
      <c r="I376" s="6471" t="s">
        <v>1044</v>
      </c>
    </row>
    <row customHeight="1" ht="11.25">
      <c r="A377" s="6471" t="s">
        <v>2387</v>
      </c>
      <c r="B377" s="6471" t="s">
        <v>16</v>
      </c>
      <c r="C377" s="6471" t="s">
        <v>2575</v>
      </c>
      <c r="D377" s="6471" t="s">
        <v>2576</v>
      </c>
      <c r="E377" s="6471" t="s">
        <v>2577</v>
      </c>
      <c r="F377" s="6471" t="s">
        <v>54</v>
      </c>
      <c r="G377" s="6471" t="s">
        <v>28</v>
      </c>
      <c r="H377" s="6471" t="s">
        <v>28</v>
      </c>
      <c r="I377" s="6471" t="s">
        <v>1044</v>
      </c>
    </row>
    <row customHeight="1" ht="11.25">
      <c r="A378" s="6471" t="s">
        <v>2387</v>
      </c>
      <c r="B378" s="6471" t="s">
        <v>16</v>
      </c>
      <c r="C378" s="6471" t="s">
        <v>2585</v>
      </c>
      <c r="D378" s="6471" t="s">
        <v>2586</v>
      </c>
      <c r="E378" s="6471" t="s">
        <v>2587</v>
      </c>
      <c r="F378" s="6471" t="s">
        <v>2588</v>
      </c>
      <c r="G378" s="6471" t="s">
        <v>28</v>
      </c>
      <c r="H378" s="6471" t="s">
        <v>28</v>
      </c>
      <c r="I378" s="6471" t="s">
        <v>1044</v>
      </c>
    </row>
    <row customHeight="1" ht="11.25">
      <c r="A379" s="6471" t="s">
        <v>2387</v>
      </c>
      <c r="B379" s="6471" t="s">
        <v>16</v>
      </c>
      <c r="C379" s="6471" t="s">
        <v>3172</v>
      </c>
      <c r="D379" s="6471" t="s">
        <v>3173</v>
      </c>
      <c r="E379" s="6471" t="s">
        <v>3174</v>
      </c>
      <c r="F379" s="6471" t="s">
        <v>2452</v>
      </c>
      <c r="G379" s="6471" t="s">
        <v>28</v>
      </c>
      <c r="H379" s="6471" t="s">
        <v>28</v>
      </c>
      <c r="I379" s="6471" t="s">
        <v>1044</v>
      </c>
    </row>
    <row customHeight="1" ht="11.25">
      <c r="A380" s="6471" t="s">
        <v>2387</v>
      </c>
      <c r="B380" s="6471" t="s">
        <v>16</v>
      </c>
      <c r="C380" s="6471" t="s">
        <v>2606</v>
      </c>
      <c r="D380" s="6471" t="s">
        <v>2607</v>
      </c>
      <c r="E380" s="6471" t="s">
        <v>2608</v>
      </c>
      <c r="F380" s="6471" t="s">
        <v>2427</v>
      </c>
      <c r="G380" s="6471" t="s">
        <v>28</v>
      </c>
      <c r="H380" s="6471" t="s">
        <v>28</v>
      </c>
      <c r="I380" s="6471" t="s">
        <v>1044</v>
      </c>
    </row>
    <row customHeight="1" ht="11.25">
      <c r="A381" s="6471" t="s">
        <v>2387</v>
      </c>
      <c r="B381" s="6471" t="s">
        <v>16</v>
      </c>
      <c r="C381" s="6471" t="s">
        <v>2978</v>
      </c>
      <c r="D381" s="6471" t="s">
        <v>2979</v>
      </c>
      <c r="E381" s="6471" t="s">
        <v>2980</v>
      </c>
      <c r="F381" s="6471" t="s">
        <v>2431</v>
      </c>
      <c r="G381" s="6471" t="s">
        <v>2981</v>
      </c>
      <c r="H381" s="6471" t="s">
        <v>28</v>
      </c>
      <c r="I381" s="6471" t="s">
        <v>1044</v>
      </c>
    </row>
    <row customHeight="1" ht="11.25">
      <c r="A382" s="6471" t="s">
        <v>2387</v>
      </c>
      <c r="B382" s="6471" t="s">
        <v>16</v>
      </c>
      <c r="C382" s="6471" t="s">
        <v>2982</v>
      </c>
      <c r="D382" s="6471" t="s">
        <v>2983</v>
      </c>
      <c r="E382" s="6471" t="s">
        <v>2984</v>
      </c>
      <c r="F382" s="6471" t="s">
        <v>2443</v>
      </c>
      <c r="G382" s="6471" t="s">
        <v>2985</v>
      </c>
      <c r="H382" s="6471" t="s">
        <v>28</v>
      </c>
      <c r="I382" s="6471" t="s">
        <v>1044</v>
      </c>
    </row>
    <row customHeight="1" ht="11.25">
      <c r="A383" s="6471" t="s">
        <v>2387</v>
      </c>
      <c r="B383" s="6471" t="s">
        <v>16</v>
      </c>
      <c r="C383" s="6471" t="s">
        <v>2986</v>
      </c>
      <c r="D383" s="6471" t="s">
        <v>2987</v>
      </c>
      <c r="E383" s="6471" t="s">
        <v>2988</v>
      </c>
      <c r="F383" s="6471" t="s">
        <v>2725</v>
      </c>
      <c r="G383" s="6471" t="s">
        <v>2989</v>
      </c>
      <c r="H383" s="6471" t="s">
        <v>28</v>
      </c>
      <c r="I383" s="6471" t="s">
        <v>1044</v>
      </c>
    </row>
    <row customHeight="1" ht="11.25">
      <c r="A384" s="6471" t="s">
        <v>2387</v>
      </c>
      <c r="B384" s="6471" t="s">
        <v>16</v>
      </c>
      <c r="C384" s="6471" t="s">
        <v>2990</v>
      </c>
      <c r="D384" s="6471" t="s">
        <v>2991</v>
      </c>
      <c r="E384" s="6471" t="s">
        <v>2992</v>
      </c>
      <c r="F384" s="6471" t="s">
        <v>2993</v>
      </c>
      <c r="G384" s="6471" t="s">
        <v>28</v>
      </c>
      <c r="H384" s="6471" t="s">
        <v>28</v>
      </c>
      <c r="I384" s="6471" t="s">
        <v>1044</v>
      </c>
    </row>
    <row customHeight="1" ht="11.25">
      <c r="A385" s="6471" t="s">
        <v>2387</v>
      </c>
      <c r="B385" s="6471" t="s">
        <v>16</v>
      </c>
      <c r="C385" s="6471" t="s">
        <v>2998</v>
      </c>
      <c r="D385" s="6471" t="s">
        <v>2999</v>
      </c>
      <c r="E385" s="6471" t="s">
        <v>3000</v>
      </c>
      <c r="F385" s="6471" t="s">
        <v>2419</v>
      </c>
      <c r="G385" s="6471" t="s">
        <v>28</v>
      </c>
      <c r="H385" s="6471" t="s">
        <v>28</v>
      </c>
      <c r="I385" s="6471" t="s">
        <v>1044</v>
      </c>
    </row>
    <row customHeight="1" ht="11.25">
      <c r="A386" s="6471" t="s">
        <v>2387</v>
      </c>
      <c r="B386" s="6471" t="s">
        <v>16</v>
      </c>
      <c r="C386" s="6471" t="s">
        <v>3001</v>
      </c>
      <c r="D386" s="6471" t="s">
        <v>3002</v>
      </c>
      <c r="E386" s="6471" t="s">
        <v>3003</v>
      </c>
      <c r="F386" s="6471" t="s">
        <v>3004</v>
      </c>
      <c r="G386" s="6471" t="s">
        <v>28</v>
      </c>
      <c r="H386" s="6471" t="s">
        <v>28</v>
      </c>
      <c r="I386" s="6471" t="s">
        <v>1044</v>
      </c>
    </row>
    <row customHeight="1" ht="11.25">
      <c r="A387" s="6471" t="s">
        <v>2387</v>
      </c>
      <c r="B387" s="6471" t="s">
        <v>16</v>
      </c>
      <c r="C387" s="6471" t="s">
        <v>3005</v>
      </c>
      <c r="D387" s="6471" t="s">
        <v>3006</v>
      </c>
      <c r="E387" s="6471" t="s">
        <v>3007</v>
      </c>
      <c r="F387" s="6471" t="s">
        <v>2810</v>
      </c>
      <c r="G387" s="6471" t="s">
        <v>28</v>
      </c>
      <c r="H387" s="6471" t="s">
        <v>28</v>
      </c>
      <c r="I387" s="6471" t="s">
        <v>1044</v>
      </c>
    </row>
    <row customHeight="1" ht="11.25">
      <c r="A388" s="6471" t="s">
        <v>2387</v>
      </c>
      <c r="B388" s="6471" t="s">
        <v>16</v>
      </c>
      <c r="C388" s="6471" t="s">
        <v>3175</v>
      </c>
      <c r="D388" s="6471" t="s">
        <v>3176</v>
      </c>
      <c r="E388" s="6471" t="s">
        <v>3177</v>
      </c>
      <c r="F388" s="6471" t="s">
        <v>2398</v>
      </c>
      <c r="G388" s="6471" t="s">
        <v>2997</v>
      </c>
      <c r="H388" s="6471" t="s">
        <v>28</v>
      </c>
      <c r="I388" s="6471" t="s">
        <v>1044</v>
      </c>
    </row>
    <row customHeight="1" ht="11.25">
      <c r="A389" s="6471" t="s">
        <v>2387</v>
      </c>
      <c r="B389" s="6471" t="s">
        <v>16</v>
      </c>
      <c r="C389" s="6471" t="s">
        <v>3178</v>
      </c>
      <c r="D389" s="6471" t="s">
        <v>3176</v>
      </c>
      <c r="E389" s="6471" t="s">
        <v>3179</v>
      </c>
      <c r="F389" s="6471" t="s">
        <v>2836</v>
      </c>
      <c r="G389" s="6471" t="s">
        <v>3011</v>
      </c>
      <c r="H389" s="6471" t="s">
        <v>28</v>
      </c>
      <c r="I389" s="6471" t="s">
        <v>1044</v>
      </c>
    </row>
    <row customHeight="1" ht="11.25">
      <c r="A390" s="6471" t="s">
        <v>2387</v>
      </c>
      <c r="B390" s="6471" t="s">
        <v>16</v>
      </c>
      <c r="C390" s="6471" t="s">
        <v>2625</v>
      </c>
      <c r="D390" s="6471" t="s">
        <v>2626</v>
      </c>
      <c r="E390" s="6471" t="s">
        <v>2627</v>
      </c>
      <c r="F390" s="6471" t="s">
        <v>2628</v>
      </c>
      <c r="G390" s="6471" t="s">
        <v>2629</v>
      </c>
      <c r="H390" s="6471" t="s">
        <v>28</v>
      </c>
      <c r="I390" s="6471" t="s">
        <v>1044</v>
      </c>
    </row>
    <row customHeight="1" ht="11.25">
      <c r="A391" s="6471" t="s">
        <v>2387</v>
      </c>
      <c r="B391" s="6471" t="s">
        <v>16</v>
      </c>
      <c r="C391" s="6471" t="s">
        <v>3012</v>
      </c>
      <c r="D391" s="6471" t="s">
        <v>3013</v>
      </c>
      <c r="E391" s="6471" t="s">
        <v>3014</v>
      </c>
      <c r="F391" s="6471" t="s">
        <v>2431</v>
      </c>
      <c r="G391" s="6471" t="s">
        <v>28</v>
      </c>
      <c r="H391" s="6471" t="s">
        <v>28</v>
      </c>
      <c r="I391" s="6471" t="s">
        <v>1044</v>
      </c>
    </row>
    <row customHeight="1" ht="11.25">
      <c r="A392" s="6471" t="s">
        <v>2387</v>
      </c>
      <c r="B392" s="6471" t="s">
        <v>16</v>
      </c>
      <c r="C392" s="6471" t="s">
        <v>3180</v>
      </c>
      <c r="D392" s="6471" t="s">
        <v>3181</v>
      </c>
      <c r="E392" s="6471" t="s">
        <v>3182</v>
      </c>
      <c r="F392" s="6471" t="s">
        <v>2394</v>
      </c>
      <c r="G392" s="6471" t="s">
        <v>28</v>
      </c>
      <c r="H392" s="6471" t="s">
        <v>28</v>
      </c>
      <c r="I392" s="6471" t="s">
        <v>1044</v>
      </c>
    </row>
    <row customHeight="1" ht="11.25">
      <c r="A393" s="6471" t="s">
        <v>2387</v>
      </c>
      <c r="B393" s="6471" t="s">
        <v>16</v>
      </c>
      <c r="C393" s="6471" t="s">
        <v>3018</v>
      </c>
      <c r="D393" s="6471" t="s">
        <v>3019</v>
      </c>
      <c r="E393" s="6471" t="s">
        <v>3020</v>
      </c>
      <c r="F393" s="6471" t="s">
        <v>2390</v>
      </c>
      <c r="G393" s="6471" t="s">
        <v>28</v>
      </c>
      <c r="H393" s="6471" t="s">
        <v>28</v>
      </c>
      <c r="I393" s="6471" t="s">
        <v>1044</v>
      </c>
    </row>
    <row customHeight="1" ht="11.25">
      <c r="A394" s="6471" t="s">
        <v>2387</v>
      </c>
      <c r="B394" s="6471" t="s">
        <v>16</v>
      </c>
      <c r="C394" s="6471" t="s">
        <v>3021</v>
      </c>
      <c r="D394" s="6471" t="s">
        <v>3022</v>
      </c>
      <c r="E394" s="6471" t="s">
        <v>3023</v>
      </c>
      <c r="F394" s="6471" t="s">
        <v>2394</v>
      </c>
      <c r="G394" s="6471" t="s">
        <v>28</v>
      </c>
      <c r="H394" s="6471" t="s">
        <v>28</v>
      </c>
      <c r="I394" s="6471" t="s">
        <v>1044</v>
      </c>
    </row>
    <row customHeight="1" ht="11.25">
      <c r="A395" s="6471" t="s">
        <v>2387</v>
      </c>
      <c r="B395" s="6471" t="s">
        <v>16</v>
      </c>
      <c r="C395" s="6471" t="s">
        <v>2642</v>
      </c>
      <c r="D395" s="6471" t="s">
        <v>2643</v>
      </c>
      <c r="E395" s="6471" t="s">
        <v>2644</v>
      </c>
      <c r="F395" s="6471" t="s">
        <v>2628</v>
      </c>
      <c r="G395" s="6471" t="s">
        <v>28</v>
      </c>
      <c r="H395" s="6471" t="s">
        <v>28</v>
      </c>
      <c r="I395" s="6471" t="s">
        <v>1044</v>
      </c>
    </row>
    <row customHeight="1" ht="11.25">
      <c r="A396" s="6471" t="s">
        <v>2387</v>
      </c>
      <c r="B396" s="6471" t="s">
        <v>16</v>
      </c>
      <c r="C396" s="6471" t="s">
        <v>2648</v>
      </c>
      <c r="D396" s="6471" t="s">
        <v>2649</v>
      </c>
      <c r="E396" s="6471" t="s">
        <v>2650</v>
      </c>
      <c r="F396" s="6471" t="s">
        <v>2628</v>
      </c>
      <c r="G396" s="6471" t="s">
        <v>28</v>
      </c>
      <c r="H396" s="6471" t="s">
        <v>28</v>
      </c>
      <c r="I396" s="6471" t="s">
        <v>1044</v>
      </c>
    </row>
    <row customHeight="1" ht="11.25">
      <c r="A397" s="6471" t="s">
        <v>2387</v>
      </c>
      <c r="B397" s="6471" t="s">
        <v>16</v>
      </c>
      <c r="C397" s="6471" t="s">
        <v>3024</v>
      </c>
      <c r="D397" s="6471" t="s">
        <v>3025</v>
      </c>
      <c r="E397" s="6471" t="s">
        <v>3026</v>
      </c>
      <c r="F397" s="6471" t="s">
        <v>2628</v>
      </c>
      <c r="G397" s="6471" t="s">
        <v>28</v>
      </c>
      <c r="H397" s="6471" t="s">
        <v>28</v>
      </c>
      <c r="I397" s="6471" t="s">
        <v>1044</v>
      </c>
    </row>
    <row customHeight="1" ht="11.25">
      <c r="A398" s="6471" t="s">
        <v>2387</v>
      </c>
      <c r="B398" s="6471" t="s">
        <v>16</v>
      </c>
      <c r="C398" s="6471" t="s">
        <v>3027</v>
      </c>
      <c r="D398" s="6471" t="s">
        <v>3028</v>
      </c>
      <c r="E398" s="6471" t="s">
        <v>3029</v>
      </c>
      <c r="F398" s="6471" t="s">
        <v>2511</v>
      </c>
      <c r="G398" s="6471" t="s">
        <v>3030</v>
      </c>
      <c r="H398" s="6471" t="s">
        <v>28</v>
      </c>
      <c r="I398" s="6471" t="s">
        <v>1044</v>
      </c>
    </row>
    <row customHeight="1" ht="11.25">
      <c r="A399" s="6471" t="s">
        <v>2387</v>
      </c>
      <c r="B399" s="6471" t="s">
        <v>16</v>
      </c>
      <c r="C399" s="6471" t="s">
        <v>3031</v>
      </c>
      <c r="D399" s="6471" t="s">
        <v>3032</v>
      </c>
      <c r="E399" s="6471" t="s">
        <v>3033</v>
      </c>
      <c r="F399" s="6471" t="s">
        <v>2394</v>
      </c>
      <c r="G399" s="6471" t="s">
        <v>3034</v>
      </c>
      <c r="H399" s="6471" t="s">
        <v>28</v>
      </c>
      <c r="I399" s="6471" t="s">
        <v>1044</v>
      </c>
    </row>
    <row customHeight="1" ht="11.25">
      <c r="A400" s="6471" t="s">
        <v>2387</v>
      </c>
      <c r="B400" s="6471" t="s">
        <v>16</v>
      </c>
      <c r="C400" s="6471" t="s">
        <v>3035</v>
      </c>
      <c r="D400" s="6471" t="s">
        <v>3036</v>
      </c>
      <c r="E400" s="6471" t="s">
        <v>3037</v>
      </c>
      <c r="F400" s="6471" t="s">
        <v>2531</v>
      </c>
      <c r="G400" s="6471" t="s">
        <v>28</v>
      </c>
      <c r="H400" s="6471" t="s">
        <v>28</v>
      </c>
      <c r="I400" s="6471" t="s">
        <v>1044</v>
      </c>
    </row>
    <row customHeight="1" ht="11.25">
      <c r="A401" s="6471" t="s">
        <v>2387</v>
      </c>
      <c r="B401" s="6471" t="s">
        <v>16</v>
      </c>
      <c r="C401" s="6471" t="s">
        <v>3038</v>
      </c>
      <c r="D401" s="6471" t="s">
        <v>3039</v>
      </c>
      <c r="E401" s="6471" t="s">
        <v>3040</v>
      </c>
      <c r="F401" s="6471" t="s">
        <v>2836</v>
      </c>
      <c r="G401" s="6471" t="s">
        <v>3041</v>
      </c>
      <c r="H401" s="6471" t="s">
        <v>28</v>
      </c>
      <c r="I401" s="6471" t="s">
        <v>1044</v>
      </c>
    </row>
    <row customHeight="1" ht="11.25">
      <c r="A402" s="6471" t="s">
        <v>2387</v>
      </c>
      <c r="B402" s="6471" t="s">
        <v>16</v>
      </c>
      <c r="C402" s="6471" t="s">
        <v>3042</v>
      </c>
      <c r="D402" s="6471" t="s">
        <v>3043</v>
      </c>
      <c r="E402" s="6471" t="s">
        <v>3044</v>
      </c>
      <c r="F402" s="6471" t="s">
        <v>2452</v>
      </c>
      <c r="G402" s="6471" t="s">
        <v>3045</v>
      </c>
      <c r="H402" s="6471" t="s">
        <v>28</v>
      </c>
      <c r="I402" s="6471" t="s">
        <v>1044</v>
      </c>
    </row>
    <row customHeight="1" ht="11.25">
      <c r="A403" s="6471" t="s">
        <v>2387</v>
      </c>
      <c r="B403" s="6471" t="s">
        <v>16</v>
      </c>
      <c r="C403" s="6471" t="s">
        <v>3183</v>
      </c>
      <c r="D403" s="6471" t="s">
        <v>3184</v>
      </c>
      <c r="E403" s="6471" t="s">
        <v>3185</v>
      </c>
      <c r="F403" s="6471" t="s">
        <v>2390</v>
      </c>
      <c r="G403" s="6471" t="s">
        <v>28</v>
      </c>
      <c r="H403" s="6471" t="s">
        <v>28</v>
      </c>
      <c r="I403" s="6471" t="s">
        <v>1044</v>
      </c>
    </row>
    <row customHeight="1" ht="11.25">
      <c r="A404" s="6471" t="s">
        <v>2387</v>
      </c>
      <c r="B404" s="6471" t="s">
        <v>16</v>
      </c>
      <c r="C404" s="6471" t="s">
        <v>2660</v>
      </c>
      <c r="D404" s="6471" t="s">
        <v>2661</v>
      </c>
      <c r="E404" s="6471" t="s">
        <v>2662</v>
      </c>
      <c r="F404" s="6471" t="s">
        <v>2628</v>
      </c>
      <c r="G404" s="6471" t="s">
        <v>28</v>
      </c>
      <c r="H404" s="6471" t="s">
        <v>28</v>
      </c>
      <c r="I404" s="6471" t="s">
        <v>1044</v>
      </c>
    </row>
    <row customHeight="1" ht="11.25">
      <c r="A405" s="6471" t="s">
        <v>2387</v>
      </c>
      <c r="B405" s="6471" t="s">
        <v>16</v>
      </c>
      <c r="C405" s="6471" t="s">
        <v>3050</v>
      </c>
      <c r="D405" s="6471" t="s">
        <v>3051</v>
      </c>
      <c r="E405" s="6471" t="s">
        <v>3052</v>
      </c>
      <c r="F405" s="6471" t="s">
        <v>2511</v>
      </c>
      <c r="G405" s="6471" t="s">
        <v>28</v>
      </c>
      <c r="H405" s="6471" t="s">
        <v>28</v>
      </c>
      <c r="I405" s="6471" t="s">
        <v>1044</v>
      </c>
    </row>
    <row customHeight="1" ht="11.25">
      <c r="A406" s="6471" t="s">
        <v>2387</v>
      </c>
      <c r="B406" s="6471" t="s">
        <v>16</v>
      </c>
      <c r="C406" s="6471" t="s">
        <v>2678</v>
      </c>
      <c r="D406" s="6471" t="s">
        <v>2679</v>
      </c>
      <c r="E406" s="6471" t="s">
        <v>2680</v>
      </c>
      <c r="F406" s="6471" t="s">
        <v>2431</v>
      </c>
      <c r="G406" s="6471" t="s">
        <v>28</v>
      </c>
      <c r="H406" s="6471" t="s">
        <v>28</v>
      </c>
      <c r="I406" s="6471" t="s">
        <v>1044</v>
      </c>
    </row>
    <row customHeight="1" ht="11.25">
      <c r="A407" s="6471" t="s">
        <v>2387</v>
      </c>
      <c r="B407" s="6471" t="s">
        <v>16</v>
      </c>
      <c r="C407" s="6471" t="s">
        <v>2696</v>
      </c>
      <c r="D407" s="6471" t="s">
        <v>2697</v>
      </c>
      <c r="E407" s="6471" t="s">
        <v>2698</v>
      </c>
      <c r="F407" s="6471" t="s">
        <v>2595</v>
      </c>
      <c r="G407" s="6471" t="s">
        <v>2699</v>
      </c>
      <c r="H407" s="6471" t="s">
        <v>28</v>
      </c>
      <c r="I407" s="6471" t="s">
        <v>1044</v>
      </c>
    </row>
    <row customHeight="1" ht="11.25">
      <c r="A408" s="6471" t="s">
        <v>2387</v>
      </c>
      <c r="B408" s="6471" t="s">
        <v>16</v>
      </c>
      <c r="C408" s="6471" t="s">
        <v>3053</v>
      </c>
      <c r="D408" s="6471" t="s">
        <v>3054</v>
      </c>
      <c r="E408" s="6471" t="s">
        <v>3055</v>
      </c>
      <c r="F408" s="6471" t="s">
        <v>2581</v>
      </c>
      <c r="G408" s="6471" t="s">
        <v>28</v>
      </c>
      <c r="H408" s="6471" t="s">
        <v>28</v>
      </c>
      <c r="I408" s="6471" t="s">
        <v>1044</v>
      </c>
    </row>
    <row customHeight="1" ht="11.25">
      <c r="A409" s="6471" t="s">
        <v>2387</v>
      </c>
      <c r="B409" s="6471" t="s">
        <v>16</v>
      </c>
      <c r="C409" s="6471" t="s">
        <v>3056</v>
      </c>
      <c r="D409" s="6471" t="s">
        <v>3057</v>
      </c>
      <c r="E409" s="6471" t="s">
        <v>3058</v>
      </c>
      <c r="F409" s="6471" t="s">
        <v>2531</v>
      </c>
      <c r="G409" s="6471" t="s">
        <v>28</v>
      </c>
      <c r="H409" s="6471" t="s">
        <v>28</v>
      </c>
      <c r="I409" s="6471" t="s">
        <v>1044</v>
      </c>
    </row>
    <row customHeight="1" ht="11.25">
      <c r="A410" s="6471" t="s">
        <v>2387</v>
      </c>
      <c r="B410" s="6471" t="s">
        <v>16</v>
      </c>
      <c r="C410" s="6471" t="s">
        <v>3059</v>
      </c>
      <c r="D410" s="6471" t="s">
        <v>3060</v>
      </c>
      <c r="E410" s="6471" t="s">
        <v>3061</v>
      </c>
      <c r="F410" s="6471" t="s">
        <v>3062</v>
      </c>
      <c r="G410" s="6471" t="s">
        <v>28</v>
      </c>
      <c r="H410" s="6471" t="s">
        <v>28</v>
      </c>
      <c r="I410" s="6471" t="s">
        <v>1044</v>
      </c>
    </row>
    <row customHeight="1" ht="11.25">
      <c r="A411" s="6471" t="s">
        <v>2387</v>
      </c>
      <c r="B411" s="6471" t="s">
        <v>16</v>
      </c>
      <c r="C411" s="6471" t="s">
        <v>3063</v>
      </c>
      <c r="D411" s="6471" t="s">
        <v>3064</v>
      </c>
      <c r="E411" s="6471" t="s">
        <v>3065</v>
      </c>
      <c r="F411" s="6471" t="s">
        <v>2595</v>
      </c>
      <c r="G411" s="6471" t="s">
        <v>28</v>
      </c>
      <c r="H411" s="6471" t="s">
        <v>28</v>
      </c>
      <c r="I411" s="6471" t="s">
        <v>1044</v>
      </c>
    </row>
    <row customHeight="1" ht="11.25">
      <c r="A412" s="6471" t="s">
        <v>2387</v>
      </c>
      <c r="B412" s="6471" t="s">
        <v>16</v>
      </c>
      <c r="C412" s="6471" t="s">
        <v>3066</v>
      </c>
      <c r="D412" s="6471" t="s">
        <v>3067</v>
      </c>
      <c r="E412" s="6471" t="s">
        <v>3068</v>
      </c>
      <c r="F412" s="6471" t="s">
        <v>2419</v>
      </c>
      <c r="G412" s="6471" t="s">
        <v>28</v>
      </c>
      <c r="H412" s="6471" t="s">
        <v>28</v>
      </c>
      <c r="I412" s="6471" t="s">
        <v>1044</v>
      </c>
    </row>
    <row customHeight="1" ht="11.25">
      <c r="A413" s="6471" t="s">
        <v>2387</v>
      </c>
      <c r="B413" s="6471" t="s">
        <v>16</v>
      </c>
      <c r="C413" s="6471" t="s">
        <v>2719</v>
      </c>
      <c r="D413" s="6471" t="s">
        <v>2720</v>
      </c>
      <c r="E413" s="6471" t="s">
        <v>2721</v>
      </c>
      <c r="F413" s="6471" t="s">
        <v>2511</v>
      </c>
      <c r="G413" s="6471" t="s">
        <v>2453</v>
      </c>
      <c r="H413" s="6471" t="s">
        <v>28</v>
      </c>
      <c r="I413" s="6471" t="s">
        <v>1044</v>
      </c>
    </row>
    <row customHeight="1" ht="11.25">
      <c r="A414" s="6471" t="s">
        <v>2387</v>
      </c>
      <c r="B414" s="6471" t="s">
        <v>16</v>
      </c>
      <c r="C414" s="6471" t="s">
        <v>3186</v>
      </c>
      <c r="D414" s="6471" t="s">
        <v>3187</v>
      </c>
      <c r="E414" s="6471" t="s">
        <v>3188</v>
      </c>
      <c r="F414" s="6471" t="s">
        <v>2725</v>
      </c>
      <c r="G414" s="6471" t="s">
        <v>3189</v>
      </c>
      <c r="H414" s="6471" t="s">
        <v>28</v>
      </c>
      <c r="I414" s="6471" t="s">
        <v>1044</v>
      </c>
    </row>
    <row customHeight="1" ht="11.25">
      <c r="A415" s="6471" t="s">
        <v>2387</v>
      </c>
      <c r="B415" s="6471" t="s">
        <v>16</v>
      </c>
      <c r="C415" s="6471" t="s">
        <v>3069</v>
      </c>
      <c r="D415" s="6471" t="s">
        <v>3070</v>
      </c>
      <c r="E415" s="6471" t="s">
        <v>3071</v>
      </c>
      <c r="F415" s="6471" t="s">
        <v>2511</v>
      </c>
      <c r="G415" s="6471" t="s">
        <v>28</v>
      </c>
      <c r="H415" s="6471" t="s">
        <v>28</v>
      </c>
      <c r="I415" s="6471" t="s">
        <v>1044</v>
      </c>
    </row>
    <row customHeight="1" ht="11.25">
      <c r="A416" s="6471" t="s">
        <v>2387</v>
      </c>
      <c r="B416" s="6471" t="s">
        <v>16</v>
      </c>
      <c r="C416" s="6471" t="s">
        <v>2751</v>
      </c>
      <c r="D416" s="6471" t="s">
        <v>2752</v>
      </c>
      <c r="E416" s="6471" t="s">
        <v>2753</v>
      </c>
      <c r="F416" s="6471" t="s">
        <v>2754</v>
      </c>
      <c r="G416" s="6471" t="s">
        <v>28</v>
      </c>
      <c r="H416" s="6471" t="s">
        <v>28</v>
      </c>
      <c r="I416" s="6471" t="s">
        <v>1044</v>
      </c>
    </row>
    <row customHeight="1" ht="11.25">
      <c r="A417" s="6471" t="s">
        <v>2387</v>
      </c>
      <c r="B417" s="6471" t="s">
        <v>16</v>
      </c>
      <c r="C417" s="6471" t="s">
        <v>3075</v>
      </c>
      <c r="D417" s="6471" t="s">
        <v>3076</v>
      </c>
      <c r="E417" s="6471" t="s">
        <v>3077</v>
      </c>
      <c r="F417" s="6471" t="s">
        <v>2419</v>
      </c>
      <c r="G417" s="6471" t="s">
        <v>28</v>
      </c>
      <c r="H417" s="6471" t="s">
        <v>28</v>
      </c>
      <c r="I417" s="6471" t="s">
        <v>1044</v>
      </c>
    </row>
    <row customHeight="1" ht="11.25">
      <c r="A418" s="6471" t="s">
        <v>2387</v>
      </c>
      <c r="B418" s="6471" t="s">
        <v>16</v>
      </c>
      <c r="C418" s="6471" t="s">
        <v>3078</v>
      </c>
      <c r="D418" s="6471" t="s">
        <v>3079</v>
      </c>
      <c r="E418" s="6471" t="s">
        <v>3080</v>
      </c>
      <c r="F418" s="6471" t="s">
        <v>2628</v>
      </c>
      <c r="G418" s="6471" t="s">
        <v>28</v>
      </c>
      <c r="H418" s="6471" t="s">
        <v>28</v>
      </c>
      <c r="I418" s="6471" t="s">
        <v>1044</v>
      </c>
    </row>
    <row customHeight="1" ht="11.25">
      <c r="A419" s="6471" t="s">
        <v>2387</v>
      </c>
      <c r="B419" s="6471" t="s">
        <v>16</v>
      </c>
      <c r="C419" s="6471" t="s">
        <v>3087</v>
      </c>
      <c r="D419" s="6471" t="s">
        <v>3088</v>
      </c>
      <c r="E419" s="6471" t="s">
        <v>3089</v>
      </c>
      <c r="F419" s="6471" t="s">
        <v>2497</v>
      </c>
      <c r="G419" s="6471" t="s">
        <v>28</v>
      </c>
      <c r="H419" s="6471" t="s">
        <v>28</v>
      </c>
      <c r="I419" s="6471" t="s">
        <v>1044</v>
      </c>
    </row>
    <row customHeight="1" ht="11.25">
      <c r="A420" s="6471" t="s">
        <v>2387</v>
      </c>
      <c r="B420" s="6471" t="s">
        <v>16</v>
      </c>
      <c r="C420" s="6471" t="s">
        <v>3090</v>
      </c>
      <c r="D420" s="6471" t="s">
        <v>3091</v>
      </c>
      <c r="E420" s="6471" t="s">
        <v>3092</v>
      </c>
      <c r="F420" s="6471" t="s">
        <v>2390</v>
      </c>
      <c r="G420" s="6471" t="s">
        <v>28</v>
      </c>
      <c r="H420" s="6471" t="s">
        <v>28</v>
      </c>
      <c r="I420" s="6471" t="s">
        <v>1044</v>
      </c>
    </row>
    <row customHeight="1" ht="11.25">
      <c r="A421" s="6471" t="s">
        <v>2387</v>
      </c>
      <c r="B421" s="6471" t="s">
        <v>16</v>
      </c>
      <c r="C421" s="6471" t="s">
        <v>3096</v>
      </c>
      <c r="D421" s="6471" t="s">
        <v>3097</v>
      </c>
      <c r="E421" s="6471" t="s">
        <v>3098</v>
      </c>
      <c r="F421" s="6471" t="s">
        <v>2443</v>
      </c>
      <c r="G421" s="6471" t="s">
        <v>3099</v>
      </c>
      <c r="H421" s="6471" t="s">
        <v>28</v>
      </c>
      <c r="I421" s="6471" t="s">
        <v>1044</v>
      </c>
    </row>
    <row customHeight="1" ht="11.25">
      <c r="A422" s="6471" t="s">
        <v>2387</v>
      </c>
      <c r="B422" s="6471" t="s">
        <v>16</v>
      </c>
      <c r="C422" s="6471" t="s">
        <v>3100</v>
      </c>
      <c r="D422" s="6471" t="s">
        <v>3101</v>
      </c>
      <c r="E422" s="6471" t="s">
        <v>2389</v>
      </c>
      <c r="F422" s="6471" t="s">
        <v>2390</v>
      </c>
      <c r="G422" s="6471" t="s">
        <v>28</v>
      </c>
      <c r="H422" s="6471" t="s">
        <v>28</v>
      </c>
      <c r="I422" s="6471" t="s">
        <v>1044</v>
      </c>
    </row>
    <row customHeight="1" ht="11.25">
      <c r="A423" s="6471" t="s">
        <v>2387</v>
      </c>
      <c r="B423" s="6471" t="s">
        <v>16</v>
      </c>
      <c r="C423" s="6471" t="s">
        <v>3102</v>
      </c>
      <c r="D423" s="6471" t="s">
        <v>3103</v>
      </c>
      <c r="E423" s="6471" t="s">
        <v>3104</v>
      </c>
      <c r="F423" s="6471" t="s">
        <v>2394</v>
      </c>
      <c r="G423" s="6471" t="s">
        <v>28</v>
      </c>
      <c r="H423" s="6471" t="s">
        <v>28</v>
      </c>
      <c r="I423" s="6471" t="s">
        <v>1044</v>
      </c>
    </row>
    <row customHeight="1" ht="11.25">
      <c r="A424" s="6471" t="s">
        <v>2387</v>
      </c>
      <c r="B424" s="6471" t="s">
        <v>16</v>
      </c>
      <c r="C424" s="6471" t="s">
        <v>3105</v>
      </c>
      <c r="D424" s="6471" t="s">
        <v>3106</v>
      </c>
      <c r="E424" s="6471" t="s">
        <v>3107</v>
      </c>
      <c r="F424" s="6471" t="s">
        <v>2394</v>
      </c>
      <c r="G424" s="6471" t="s">
        <v>28</v>
      </c>
      <c r="H424" s="6471" t="s">
        <v>28</v>
      </c>
      <c r="I424" s="6471" t="s">
        <v>1044</v>
      </c>
    </row>
    <row customHeight="1" ht="11.25">
      <c r="A425" s="6471" t="s">
        <v>2387</v>
      </c>
      <c r="B425" s="6471" t="s">
        <v>16</v>
      </c>
      <c r="C425" s="6471" t="s">
        <v>2758</v>
      </c>
      <c r="D425" s="6471" t="s">
        <v>2759</v>
      </c>
      <c r="E425" s="6471" t="s">
        <v>2760</v>
      </c>
      <c r="F425" s="6471" t="s">
        <v>2402</v>
      </c>
      <c r="G425" s="6471" t="s">
        <v>28</v>
      </c>
      <c r="H425" s="6471" t="s">
        <v>28</v>
      </c>
      <c r="I425" s="6471" t="s">
        <v>1044</v>
      </c>
    </row>
    <row customHeight="1" ht="11.25">
      <c r="A426" s="6471" t="s">
        <v>2387</v>
      </c>
      <c r="B426" s="6471" t="s">
        <v>16</v>
      </c>
      <c r="C426" s="6471" t="s">
        <v>2769</v>
      </c>
      <c r="D426" s="6471" t="s">
        <v>2770</v>
      </c>
      <c r="E426" s="6471" t="s">
        <v>2771</v>
      </c>
      <c r="F426" s="6471" t="s">
        <v>2732</v>
      </c>
      <c r="G426" s="6471" t="s">
        <v>2772</v>
      </c>
      <c r="H426" s="6471" t="s">
        <v>28</v>
      </c>
      <c r="I426" s="6471" t="s">
        <v>1044</v>
      </c>
    </row>
    <row customHeight="1" ht="11.25">
      <c r="A427" s="6471" t="s">
        <v>2387</v>
      </c>
      <c r="B427" s="6471" t="s">
        <v>16</v>
      </c>
      <c r="C427" s="6471" t="s">
        <v>2773</v>
      </c>
      <c r="D427" s="6471" t="s">
        <v>2774</v>
      </c>
      <c r="E427" s="6471" t="s">
        <v>2775</v>
      </c>
      <c r="F427" s="6471" t="s">
        <v>2443</v>
      </c>
      <c r="G427" s="6471" t="s">
        <v>2776</v>
      </c>
      <c r="H427" s="6471" t="s">
        <v>28</v>
      </c>
      <c r="I427" s="6471" t="s">
        <v>1044</v>
      </c>
    </row>
    <row customHeight="1" ht="11.25">
      <c r="A428" s="6471" t="s">
        <v>2387</v>
      </c>
      <c r="B428" s="6471" t="s">
        <v>16</v>
      </c>
      <c r="C428" s="6471" t="s">
        <v>3114</v>
      </c>
      <c r="D428" s="6471" t="s">
        <v>3115</v>
      </c>
      <c r="E428" s="6471" t="s">
        <v>3116</v>
      </c>
      <c r="F428" s="6471" t="s">
        <v>3117</v>
      </c>
      <c r="G428" s="6471" t="s">
        <v>28</v>
      </c>
      <c r="H428" s="6471" t="s">
        <v>28</v>
      </c>
      <c r="I428" s="6471" t="s">
        <v>1044</v>
      </c>
    </row>
    <row customHeight="1" ht="11.25">
      <c r="A429" s="6471" t="s">
        <v>2387</v>
      </c>
      <c r="B429" s="6471" t="s">
        <v>16</v>
      </c>
      <c r="C429" s="6471" t="s">
        <v>3118</v>
      </c>
      <c r="D429" s="6471" t="s">
        <v>3119</v>
      </c>
      <c r="E429" s="6471" t="s">
        <v>3120</v>
      </c>
      <c r="F429" s="6471" t="s">
        <v>2531</v>
      </c>
      <c r="G429" s="6471" t="s">
        <v>28</v>
      </c>
      <c r="H429" s="6471" t="s">
        <v>28</v>
      </c>
      <c r="I429" s="6471" t="s">
        <v>1044</v>
      </c>
    </row>
    <row customHeight="1" ht="11.25">
      <c r="A430" s="6471" t="s">
        <v>2387</v>
      </c>
      <c r="B430" s="6471" t="s">
        <v>16</v>
      </c>
      <c r="C430" s="6471" t="s">
        <v>2787</v>
      </c>
      <c r="D430" s="6471" t="s">
        <v>2788</v>
      </c>
      <c r="E430" s="6471" t="s">
        <v>2789</v>
      </c>
      <c r="F430" s="6471" t="s">
        <v>2595</v>
      </c>
      <c r="G430" s="6471" t="s">
        <v>28</v>
      </c>
      <c r="H430" s="6471" t="s">
        <v>28</v>
      </c>
      <c r="I430" s="6471" t="s">
        <v>1044</v>
      </c>
    </row>
    <row customHeight="1" ht="11.25">
      <c r="A431" s="6471" t="s">
        <v>2387</v>
      </c>
      <c r="B431" s="6471" t="s">
        <v>16</v>
      </c>
      <c r="C431" s="6471" t="s">
        <v>2790</v>
      </c>
      <c r="D431" s="6471" t="s">
        <v>2791</v>
      </c>
      <c r="E431" s="6471" t="s">
        <v>2792</v>
      </c>
      <c r="F431" s="6471" t="s">
        <v>2793</v>
      </c>
      <c r="G431" s="6471" t="s">
        <v>2794</v>
      </c>
      <c r="H431" s="6471" t="s">
        <v>28</v>
      </c>
      <c r="I431" s="6471" t="s">
        <v>1044</v>
      </c>
    </row>
    <row customHeight="1" ht="11.25">
      <c r="A432" s="6471" t="s">
        <v>2387</v>
      </c>
      <c r="B432" s="6471" t="s">
        <v>16</v>
      </c>
      <c r="C432" s="6471" t="s">
        <v>2795</v>
      </c>
      <c r="D432" s="6471" t="s">
        <v>2796</v>
      </c>
      <c r="E432" s="6471" t="s">
        <v>2797</v>
      </c>
      <c r="F432" s="6471" t="s">
        <v>2595</v>
      </c>
      <c r="G432" s="6471" t="s">
        <v>28</v>
      </c>
      <c r="H432" s="6471" t="s">
        <v>28</v>
      </c>
      <c r="I432" s="6471" t="s">
        <v>1044</v>
      </c>
    </row>
    <row customHeight="1" ht="11.25">
      <c r="A433" s="6471" t="s">
        <v>2387</v>
      </c>
      <c r="B433" s="6471" t="s">
        <v>16</v>
      </c>
      <c r="C433" s="6471" t="s">
        <v>2801</v>
      </c>
      <c r="D433" s="6471" t="s">
        <v>2802</v>
      </c>
      <c r="E433" s="6471" t="s">
        <v>2803</v>
      </c>
      <c r="F433" s="6471" t="s">
        <v>2531</v>
      </c>
      <c r="G433" s="6471" t="s">
        <v>28</v>
      </c>
      <c r="H433" s="6471" t="s">
        <v>28</v>
      </c>
      <c r="I433" s="6471" t="s">
        <v>1044</v>
      </c>
    </row>
    <row customHeight="1" ht="11.25">
      <c r="A434" s="6471" t="s">
        <v>2387</v>
      </c>
      <c r="B434" s="6471" t="s">
        <v>16</v>
      </c>
      <c r="C434" s="6471" t="s">
        <v>3121</v>
      </c>
      <c r="D434" s="6471" t="s">
        <v>3122</v>
      </c>
      <c r="E434" s="6471" t="s">
        <v>3123</v>
      </c>
      <c r="F434" s="6471" t="s">
        <v>2933</v>
      </c>
      <c r="G434" s="6471" t="s">
        <v>28</v>
      </c>
      <c r="H434" s="6471" t="s">
        <v>28</v>
      </c>
      <c r="I434" s="6471" t="s">
        <v>1044</v>
      </c>
    </row>
    <row customHeight="1" ht="11.25">
      <c r="A435" s="6471" t="s">
        <v>2387</v>
      </c>
      <c r="B435" s="6471" t="s">
        <v>16</v>
      </c>
      <c r="C435" s="6471" t="s">
        <v>3124</v>
      </c>
      <c r="D435" s="6471" t="s">
        <v>3125</v>
      </c>
      <c r="E435" s="6471" t="s">
        <v>3126</v>
      </c>
      <c r="F435" s="6471" t="s">
        <v>2933</v>
      </c>
      <c r="G435" s="6471" t="s">
        <v>28</v>
      </c>
      <c r="H435" s="6471" t="s">
        <v>28</v>
      </c>
      <c r="I435" s="6471" t="s">
        <v>1044</v>
      </c>
    </row>
    <row customHeight="1" ht="11.25">
      <c r="A436" s="6471" t="s">
        <v>2387</v>
      </c>
      <c r="B436" s="6471" t="s">
        <v>16</v>
      </c>
      <c r="C436" s="6471" t="s">
        <v>3127</v>
      </c>
      <c r="D436" s="6471" t="s">
        <v>3128</v>
      </c>
      <c r="E436" s="6471" t="s">
        <v>3129</v>
      </c>
      <c r="F436" s="6471" t="s">
        <v>2419</v>
      </c>
      <c r="G436" s="6471" t="s">
        <v>28</v>
      </c>
      <c r="H436" s="6471" t="s">
        <v>28</v>
      </c>
      <c r="I436" s="6471" t="s">
        <v>1044</v>
      </c>
    </row>
    <row customHeight="1" ht="11.25">
      <c r="A437" s="6471" t="s">
        <v>2387</v>
      </c>
      <c r="B437" s="6471" t="s">
        <v>16</v>
      </c>
      <c r="C437" s="6471" t="s">
        <v>2804</v>
      </c>
      <c r="D437" s="6471" t="s">
        <v>2805</v>
      </c>
      <c r="E437" s="6471" t="s">
        <v>2806</v>
      </c>
      <c r="F437" s="6471" t="s">
        <v>2398</v>
      </c>
      <c r="G437" s="6471" t="s">
        <v>28</v>
      </c>
      <c r="H437" s="6471" t="s">
        <v>28</v>
      </c>
      <c r="I437" s="6471" t="s">
        <v>1044</v>
      </c>
    </row>
    <row customHeight="1" ht="11.25">
      <c r="A438" s="6471" t="s">
        <v>2387</v>
      </c>
      <c r="B438" s="6471" t="s">
        <v>16</v>
      </c>
      <c r="C438" s="6471" t="s">
        <v>2807</v>
      </c>
      <c r="D438" s="6471" t="s">
        <v>2808</v>
      </c>
      <c r="E438" s="6471" t="s">
        <v>2809</v>
      </c>
      <c r="F438" s="6471" t="s">
        <v>2810</v>
      </c>
      <c r="G438" s="6471" t="s">
        <v>28</v>
      </c>
      <c r="H438" s="6471" t="s">
        <v>28</v>
      </c>
      <c r="I438" s="6471" t="s">
        <v>1044</v>
      </c>
    </row>
    <row customHeight="1" ht="11.25">
      <c r="A439" s="6471" t="s">
        <v>2387</v>
      </c>
      <c r="B439" s="6471" t="s">
        <v>16</v>
      </c>
      <c r="C439" s="6471" t="s">
        <v>3139</v>
      </c>
      <c r="D439" s="6471" t="s">
        <v>3140</v>
      </c>
      <c r="E439" s="6471" t="s">
        <v>3141</v>
      </c>
      <c r="F439" s="6471" t="s">
        <v>2993</v>
      </c>
      <c r="G439" s="6471" t="s">
        <v>3142</v>
      </c>
      <c r="H439" s="6471" t="s">
        <v>28</v>
      </c>
      <c r="I439" s="6471" t="s">
        <v>1044</v>
      </c>
    </row>
    <row customHeight="1" ht="11.25">
      <c r="A440" s="6471" t="s">
        <v>2387</v>
      </c>
      <c r="B440" s="6471" t="s">
        <v>16</v>
      </c>
      <c r="C440" s="6471" t="s">
        <v>3143</v>
      </c>
      <c r="D440" s="6471" t="s">
        <v>3144</v>
      </c>
      <c r="E440" s="6471" t="s">
        <v>3145</v>
      </c>
      <c r="F440" s="6471" t="s">
        <v>2497</v>
      </c>
      <c r="G440" s="6471" t="s">
        <v>28</v>
      </c>
      <c r="H440" s="6471" t="s">
        <v>28</v>
      </c>
      <c r="I440" s="6471" t="s">
        <v>1044</v>
      </c>
    </row>
    <row customHeight="1" ht="11.25">
      <c r="A441" s="6471" t="s">
        <v>2387</v>
      </c>
      <c r="B441" s="6471" t="s">
        <v>16</v>
      </c>
      <c r="C441" s="6471" t="s">
        <v>3146</v>
      </c>
      <c r="D441" s="6471" t="s">
        <v>3147</v>
      </c>
      <c r="E441" s="6471" t="s">
        <v>3148</v>
      </c>
      <c r="F441" s="6471" t="s">
        <v>2523</v>
      </c>
      <c r="G441" s="6471" t="s">
        <v>28</v>
      </c>
      <c r="H441" s="6471" t="s">
        <v>28</v>
      </c>
      <c r="I441" s="6471" t="s">
        <v>1044</v>
      </c>
    </row>
    <row customHeight="1" ht="11.25">
      <c r="A442" s="6471" t="s">
        <v>2387</v>
      </c>
      <c r="B442" s="6471" t="s">
        <v>16</v>
      </c>
      <c r="C442" s="6471" t="s">
        <v>3155</v>
      </c>
      <c r="D442" s="6471" t="s">
        <v>3156</v>
      </c>
      <c r="E442" s="6471" t="s">
        <v>3157</v>
      </c>
      <c r="F442" s="6471" t="s">
        <v>2933</v>
      </c>
      <c r="G442" s="6471" t="s">
        <v>3158</v>
      </c>
      <c r="H442" s="6471" t="s">
        <v>28</v>
      </c>
      <c r="I442" s="6471" t="s">
        <v>1044</v>
      </c>
    </row>
    <row customHeight="1" ht="11.25">
      <c r="A443" s="6471" t="s">
        <v>2387</v>
      </c>
      <c r="B443" s="6471" t="s">
        <v>16</v>
      </c>
      <c r="C443" s="6471" t="s">
        <v>3159</v>
      </c>
      <c r="D443" s="6471" t="s">
        <v>3160</v>
      </c>
      <c r="E443" s="6471" t="s">
        <v>3161</v>
      </c>
      <c r="F443" s="6471" t="s">
        <v>2452</v>
      </c>
      <c r="G443" s="6471" t="s">
        <v>28</v>
      </c>
      <c r="H443" s="6471" t="s">
        <v>28</v>
      </c>
      <c r="I443" s="6471" t="s">
        <v>1044</v>
      </c>
    </row>
    <row customHeight="1" ht="11.25">
      <c r="A444" s="6471" t="s">
        <v>2387</v>
      </c>
      <c r="B444" s="6471" t="s">
        <v>16</v>
      </c>
      <c r="C444" s="6471" t="s">
        <v>2837</v>
      </c>
      <c r="D444" s="6471" t="s">
        <v>2838</v>
      </c>
      <c r="E444" s="6471" t="s">
        <v>2839</v>
      </c>
      <c r="F444" s="6471" t="s">
        <v>2419</v>
      </c>
      <c r="G444" s="6471" t="s">
        <v>28</v>
      </c>
      <c r="H444" s="6471" t="s">
        <v>28</v>
      </c>
      <c r="I444" s="6471" t="s">
        <v>1044</v>
      </c>
    </row>
    <row customHeight="1" ht="11.25">
      <c r="A445" s="6471" t="s">
        <v>2387</v>
      </c>
      <c r="B445" s="6471" t="s">
        <v>16</v>
      </c>
      <c r="C445" s="6471" t="s">
        <v>28</v>
      </c>
      <c r="D445" s="6471" t="s">
        <v>2388</v>
      </c>
      <c r="E445" s="6471" t="s">
        <v>2389</v>
      </c>
      <c r="F445" s="6471" t="s">
        <v>2390</v>
      </c>
      <c r="G445" s="6471" t="s">
        <v>28</v>
      </c>
      <c r="H445" s="6471" t="s">
        <v>28</v>
      </c>
      <c r="I445" s="6471" t="s">
        <v>1759</v>
      </c>
    </row>
    <row customHeight="1" ht="11.25">
      <c r="A446" s="6471" t="s">
        <v>2387</v>
      </c>
      <c r="B446" s="6471" t="s">
        <v>16</v>
      </c>
      <c r="C446" s="6471" t="s">
        <v>3190</v>
      </c>
      <c r="D446" s="6471" t="s">
        <v>3191</v>
      </c>
      <c r="E446" s="6471" t="s">
        <v>3192</v>
      </c>
      <c r="F446" s="6471" t="s">
        <v>713</v>
      </c>
      <c r="G446" s="6471" t="s">
        <v>3193</v>
      </c>
      <c r="H446" s="6471" t="s">
        <v>28</v>
      </c>
      <c r="I446" s="6471" t="s">
        <v>1759</v>
      </c>
    </row>
    <row customHeight="1" ht="11.25">
      <c r="A447" s="6471" t="s">
        <v>2387</v>
      </c>
      <c r="B447" s="6471" t="s">
        <v>16</v>
      </c>
      <c r="C447" s="6471" t="s">
        <v>2538</v>
      </c>
      <c r="D447" s="6471" t="s">
        <v>2539</v>
      </c>
      <c r="E447" s="6471" t="s">
        <v>2540</v>
      </c>
      <c r="F447" s="6471" t="s">
        <v>54</v>
      </c>
      <c r="G447" s="6471" t="s">
        <v>28</v>
      </c>
      <c r="H447" s="6471" t="s">
        <v>28</v>
      </c>
      <c r="I447" s="6471" t="s">
        <v>1759</v>
      </c>
    </row>
    <row customHeight="1" ht="11.25">
      <c r="A448" s="6471" t="s">
        <v>2387</v>
      </c>
      <c r="B448" s="6471" t="s">
        <v>16</v>
      </c>
      <c r="C448" s="6471" t="s">
        <v>2907</v>
      </c>
      <c r="D448" s="6471" t="s">
        <v>2908</v>
      </c>
      <c r="E448" s="6471" t="s">
        <v>2909</v>
      </c>
      <c r="F448" s="6471" t="s">
        <v>2628</v>
      </c>
      <c r="G448" s="6471" t="s">
        <v>28</v>
      </c>
      <c r="H448" s="6471" t="s">
        <v>28</v>
      </c>
      <c r="I448" s="6471" t="s">
        <v>1759</v>
      </c>
    </row>
    <row customHeight="1" ht="11.25">
      <c r="A449" s="6471" t="s">
        <v>2387</v>
      </c>
      <c r="B449" s="6471" t="s">
        <v>16</v>
      </c>
      <c r="C449" s="6471" t="s">
        <v>3194</v>
      </c>
      <c r="D449" s="6471" t="s">
        <v>3195</v>
      </c>
      <c r="E449" s="6471" t="s">
        <v>3196</v>
      </c>
      <c r="F449" s="6471" t="s">
        <v>2641</v>
      </c>
      <c r="G449" s="6471" t="s">
        <v>3197</v>
      </c>
      <c r="H449" s="6471" t="s">
        <v>28</v>
      </c>
      <c r="I449" s="6471" t="s">
        <v>1759</v>
      </c>
    </row>
    <row customHeight="1" ht="11.25">
      <c r="A450" s="6471" t="s">
        <v>2387</v>
      </c>
      <c r="B450" s="6471" t="s">
        <v>16</v>
      </c>
      <c r="C450" s="6471" t="s">
        <v>2549</v>
      </c>
      <c r="D450" s="6471" t="s">
        <v>2550</v>
      </c>
      <c r="E450" s="6471" t="s">
        <v>2551</v>
      </c>
      <c r="F450" s="6471" t="s">
        <v>2419</v>
      </c>
      <c r="G450" s="6471" t="s">
        <v>28</v>
      </c>
      <c r="H450" s="6471" t="s">
        <v>28</v>
      </c>
      <c r="I450" s="6471" t="s">
        <v>1759</v>
      </c>
    </row>
    <row customHeight="1" ht="11.25">
      <c r="A451" s="6471" t="s">
        <v>2387</v>
      </c>
      <c r="B451" s="6471" t="s">
        <v>16</v>
      </c>
      <c r="C451" s="6471" t="s">
        <v>3198</v>
      </c>
      <c r="D451" s="6471" t="s">
        <v>3199</v>
      </c>
      <c r="E451" s="6471" t="s">
        <v>3200</v>
      </c>
      <c r="F451" s="6471" t="s">
        <v>2523</v>
      </c>
      <c r="G451" s="6471" t="s">
        <v>28</v>
      </c>
      <c r="H451" s="6471" t="s">
        <v>28</v>
      </c>
      <c r="I451" s="6471" t="s">
        <v>1759</v>
      </c>
    </row>
    <row customHeight="1" ht="11.25">
      <c r="A452" s="6471" t="s">
        <v>2387</v>
      </c>
      <c r="B452" s="6471" t="s">
        <v>16</v>
      </c>
      <c r="C452" s="6471" t="s">
        <v>2556</v>
      </c>
      <c r="D452" s="6471" t="s">
        <v>2557</v>
      </c>
      <c r="E452" s="6471" t="s">
        <v>2558</v>
      </c>
      <c r="F452" s="6471" t="s">
        <v>2427</v>
      </c>
      <c r="G452" s="6471" t="s">
        <v>28</v>
      </c>
      <c r="H452" s="6471" t="s">
        <v>28</v>
      </c>
      <c r="I452" s="6471" t="s">
        <v>1759</v>
      </c>
    </row>
    <row customHeight="1" ht="11.25">
      <c r="A453" s="6471" t="s">
        <v>2387</v>
      </c>
      <c r="B453" s="6471" t="s">
        <v>16</v>
      </c>
      <c r="C453" s="6471" t="s">
        <v>2559</v>
      </c>
      <c r="D453" s="6471" t="s">
        <v>2560</v>
      </c>
      <c r="E453" s="6471" t="s">
        <v>2561</v>
      </c>
      <c r="F453" s="6471" t="s">
        <v>2427</v>
      </c>
      <c r="G453" s="6471" t="s">
        <v>28</v>
      </c>
      <c r="H453" s="6471" t="s">
        <v>28</v>
      </c>
      <c r="I453" s="6471" t="s">
        <v>1759</v>
      </c>
    </row>
    <row customHeight="1" ht="11.25">
      <c r="A454" s="6471" t="s">
        <v>2387</v>
      </c>
      <c r="B454" s="6471" t="s">
        <v>16</v>
      </c>
      <c r="C454" s="6471" t="s">
        <v>3201</v>
      </c>
      <c r="D454" s="6471" t="s">
        <v>3202</v>
      </c>
      <c r="E454" s="6471" t="s">
        <v>3203</v>
      </c>
      <c r="F454" s="6471" t="s">
        <v>2565</v>
      </c>
      <c r="G454" s="6471" t="s">
        <v>3204</v>
      </c>
      <c r="H454" s="6471" t="s">
        <v>28</v>
      </c>
      <c r="I454" s="6471" t="s">
        <v>1759</v>
      </c>
    </row>
    <row customHeight="1" ht="11.25">
      <c r="A455" s="6471" t="s">
        <v>2387</v>
      </c>
      <c r="B455" s="6471" t="s">
        <v>16</v>
      </c>
      <c r="C455" s="6471" t="s">
        <v>3205</v>
      </c>
      <c r="D455" s="6471" t="s">
        <v>3206</v>
      </c>
      <c r="E455" s="6471" t="s">
        <v>3207</v>
      </c>
      <c r="F455" s="6471" t="s">
        <v>2548</v>
      </c>
      <c r="G455" s="6471" t="s">
        <v>28</v>
      </c>
      <c r="H455" s="6471" t="s">
        <v>28</v>
      </c>
      <c r="I455" s="6471" t="s">
        <v>1759</v>
      </c>
    </row>
    <row customHeight="1" ht="11.25">
      <c r="A456" s="6471" t="s">
        <v>2387</v>
      </c>
      <c r="B456" s="6471" t="s">
        <v>16</v>
      </c>
      <c r="C456" s="6471" t="s">
        <v>3208</v>
      </c>
      <c r="D456" s="6471" t="s">
        <v>3209</v>
      </c>
      <c r="E456" s="6471" t="s">
        <v>3210</v>
      </c>
      <c r="F456" s="6471" t="s">
        <v>2431</v>
      </c>
      <c r="G456" s="6471" t="s">
        <v>28</v>
      </c>
      <c r="H456" s="6471" t="s">
        <v>28</v>
      </c>
      <c r="I456" s="6471" t="s">
        <v>1759</v>
      </c>
    </row>
    <row customHeight="1" ht="11.25">
      <c r="A457" s="6471" t="s">
        <v>2387</v>
      </c>
      <c r="B457" s="6471" t="s">
        <v>16</v>
      </c>
      <c r="C457" s="6471" t="s">
        <v>3211</v>
      </c>
      <c r="D457" s="6471" t="s">
        <v>3212</v>
      </c>
      <c r="E457" s="6471" t="s">
        <v>3213</v>
      </c>
      <c r="F457" s="6471" t="s">
        <v>2390</v>
      </c>
      <c r="G457" s="6471" t="s">
        <v>3214</v>
      </c>
      <c r="H457" s="6471" t="s">
        <v>28</v>
      </c>
      <c r="I457" s="6471" t="s">
        <v>1759</v>
      </c>
    </row>
    <row customHeight="1" ht="11.25">
      <c r="A458" s="6471" t="s">
        <v>2387</v>
      </c>
      <c r="B458" s="6471" t="s">
        <v>16</v>
      </c>
      <c r="C458" s="6471" t="s">
        <v>3215</v>
      </c>
      <c r="D458" s="6471" t="s">
        <v>3216</v>
      </c>
      <c r="E458" s="6471" t="s">
        <v>3217</v>
      </c>
      <c r="F458" s="6471" t="s">
        <v>2588</v>
      </c>
      <c r="G458" s="6471" t="s">
        <v>3218</v>
      </c>
      <c r="H458" s="6471" t="s">
        <v>28</v>
      </c>
      <c r="I458" s="6471" t="s">
        <v>1759</v>
      </c>
    </row>
    <row customHeight="1" ht="11.25">
      <c r="A459" s="6471" t="s">
        <v>2387</v>
      </c>
      <c r="B459" s="6471" t="s">
        <v>16</v>
      </c>
      <c r="C459" s="6471" t="s">
        <v>3219</v>
      </c>
      <c r="D459" s="6471" t="s">
        <v>3220</v>
      </c>
      <c r="E459" s="6471" t="s">
        <v>3221</v>
      </c>
      <c r="F459" s="6471" t="s">
        <v>2641</v>
      </c>
      <c r="G459" s="6471" t="s">
        <v>3222</v>
      </c>
      <c r="H459" s="6471" t="s">
        <v>28</v>
      </c>
      <c r="I459" s="6471" t="s">
        <v>1759</v>
      </c>
    </row>
    <row customHeight="1" ht="11.25">
      <c r="A460" s="6471" t="s">
        <v>2387</v>
      </c>
      <c r="B460" s="6471" t="s">
        <v>16</v>
      </c>
      <c r="C460" s="6471" t="s">
        <v>3223</v>
      </c>
      <c r="D460" s="6471" t="s">
        <v>3224</v>
      </c>
      <c r="E460" s="6471" t="s">
        <v>3225</v>
      </c>
      <c r="F460" s="6471" t="s">
        <v>2669</v>
      </c>
      <c r="G460" s="6471" t="s">
        <v>3226</v>
      </c>
      <c r="H460" s="6471" t="s">
        <v>28</v>
      </c>
      <c r="I460" s="6471" t="s">
        <v>1759</v>
      </c>
    </row>
    <row customHeight="1" ht="11.25">
      <c r="A461" s="6471" t="s">
        <v>2387</v>
      </c>
      <c r="B461" s="6471" t="s">
        <v>16</v>
      </c>
      <c r="C461" s="6471" t="s">
        <v>3227</v>
      </c>
      <c r="D461" s="6471" t="s">
        <v>3228</v>
      </c>
      <c r="E461" s="6471" t="s">
        <v>3229</v>
      </c>
      <c r="F461" s="6471" t="s">
        <v>2754</v>
      </c>
      <c r="G461" s="6471" t="s">
        <v>3230</v>
      </c>
      <c r="H461" s="6471" t="s">
        <v>28</v>
      </c>
      <c r="I461" s="6471" t="s">
        <v>1759</v>
      </c>
    </row>
    <row customHeight="1" ht="11.25">
      <c r="A462" s="6471" t="s">
        <v>2387</v>
      </c>
      <c r="B462" s="6471" t="s">
        <v>16</v>
      </c>
      <c r="C462" s="6471" t="s">
        <v>3231</v>
      </c>
      <c r="D462" s="6471" t="s">
        <v>3232</v>
      </c>
      <c r="E462" s="6471" t="s">
        <v>3233</v>
      </c>
      <c r="F462" s="6471" t="s">
        <v>2922</v>
      </c>
      <c r="G462" s="6471" t="s">
        <v>3234</v>
      </c>
      <c r="H462" s="6471" t="s">
        <v>28</v>
      </c>
      <c r="I462" s="6471" t="s">
        <v>1759</v>
      </c>
    </row>
    <row customHeight="1" ht="11.25">
      <c r="A463" s="6471" t="s">
        <v>2387</v>
      </c>
      <c r="B463" s="6471" t="s">
        <v>16</v>
      </c>
      <c r="C463" s="6471" t="s">
        <v>3024</v>
      </c>
      <c r="D463" s="6471" t="s">
        <v>3025</v>
      </c>
      <c r="E463" s="6471" t="s">
        <v>3026</v>
      </c>
      <c r="F463" s="6471" t="s">
        <v>2628</v>
      </c>
      <c r="G463" s="6471" t="s">
        <v>28</v>
      </c>
      <c r="H463" s="6471" t="s">
        <v>28</v>
      </c>
      <c r="I463" s="6471" t="s">
        <v>1759</v>
      </c>
    </row>
    <row customHeight="1" ht="11.25">
      <c r="A464" s="6471" t="s">
        <v>2387</v>
      </c>
      <c r="B464" s="6471" t="s">
        <v>16</v>
      </c>
      <c r="C464" s="6471" t="s">
        <v>3235</v>
      </c>
      <c r="D464" s="6471" t="s">
        <v>3236</v>
      </c>
      <c r="E464" s="6471" t="s">
        <v>3237</v>
      </c>
      <c r="F464" s="6471" t="s">
        <v>2836</v>
      </c>
      <c r="G464" s="6471" t="s">
        <v>3238</v>
      </c>
      <c r="H464" s="6471" t="s">
        <v>28</v>
      </c>
      <c r="I464" s="6471" t="s">
        <v>1759</v>
      </c>
    </row>
    <row customHeight="1" ht="11.25">
      <c r="A465" s="6471" t="s">
        <v>2387</v>
      </c>
      <c r="B465" s="6471" t="s">
        <v>16</v>
      </c>
      <c r="C465" s="6471" t="s">
        <v>3239</v>
      </c>
      <c r="D465" s="6471" t="s">
        <v>3240</v>
      </c>
      <c r="E465" s="6471" t="s">
        <v>3241</v>
      </c>
      <c r="F465" s="6471" t="s">
        <v>2452</v>
      </c>
      <c r="G465" s="6471" t="s">
        <v>28</v>
      </c>
      <c r="H465" s="6471" t="s">
        <v>28</v>
      </c>
      <c r="I465" s="6471" t="s">
        <v>1759</v>
      </c>
    </row>
    <row customHeight="1" ht="11.25">
      <c r="A466" s="6471" t="s">
        <v>2387</v>
      </c>
      <c r="B466" s="6471" t="s">
        <v>16</v>
      </c>
      <c r="C466" s="6471" t="s">
        <v>3242</v>
      </c>
      <c r="D466" s="6471" t="s">
        <v>3243</v>
      </c>
      <c r="E466" s="6471" t="s">
        <v>3244</v>
      </c>
      <c r="F466" s="6471" t="s">
        <v>2394</v>
      </c>
      <c r="G466" s="6471" t="s">
        <v>3245</v>
      </c>
      <c r="H466" s="6471" t="s">
        <v>28</v>
      </c>
      <c r="I466" s="6471" t="s">
        <v>1759</v>
      </c>
    </row>
    <row customHeight="1" ht="11.25">
      <c r="A467" s="6471" t="s">
        <v>2387</v>
      </c>
      <c r="B467" s="6471" t="s">
        <v>16</v>
      </c>
      <c r="C467" s="6471" t="s">
        <v>3246</v>
      </c>
      <c r="D467" s="6471" t="s">
        <v>3247</v>
      </c>
      <c r="E467" s="6471" t="s">
        <v>3248</v>
      </c>
      <c r="F467" s="6471" t="s">
        <v>2725</v>
      </c>
      <c r="G467" s="6471" t="s">
        <v>28</v>
      </c>
      <c r="H467" s="6471" t="s">
        <v>28</v>
      </c>
      <c r="I467" s="6471" t="s">
        <v>1759</v>
      </c>
    </row>
    <row customHeight="1" ht="11.25">
      <c r="A468" s="6471" t="s">
        <v>2387</v>
      </c>
      <c r="B468" s="6471" t="s">
        <v>16</v>
      </c>
      <c r="C468" s="6471" t="s">
        <v>3249</v>
      </c>
      <c r="D468" s="6471" t="s">
        <v>3250</v>
      </c>
      <c r="E468" s="6471" t="s">
        <v>3251</v>
      </c>
      <c r="F468" s="6471" t="s">
        <v>2548</v>
      </c>
      <c r="G468" s="6471" t="s">
        <v>3252</v>
      </c>
      <c r="H468" s="6471" t="s">
        <v>28</v>
      </c>
      <c r="I468" s="6471" t="s">
        <v>1759</v>
      </c>
    </row>
    <row customHeight="1" ht="11.25">
      <c r="A469" s="6471" t="s">
        <v>2387</v>
      </c>
      <c r="B469" s="6471" t="s">
        <v>16</v>
      </c>
      <c r="C469" s="6471" t="s">
        <v>3253</v>
      </c>
      <c r="D469" s="6471" t="s">
        <v>3254</v>
      </c>
      <c r="E469" s="6471" t="s">
        <v>3255</v>
      </c>
      <c r="F469" s="6471" t="s">
        <v>2658</v>
      </c>
      <c r="G469" s="6471" t="s">
        <v>28</v>
      </c>
      <c r="H469" s="6471" t="s">
        <v>28</v>
      </c>
      <c r="I469" s="6471" t="s">
        <v>1759</v>
      </c>
    </row>
    <row customHeight="1" ht="11.25">
      <c r="A470" s="6471" t="s">
        <v>2387</v>
      </c>
      <c r="B470" s="6471" t="s">
        <v>16</v>
      </c>
      <c r="C470" s="6471" t="s">
        <v>3256</v>
      </c>
      <c r="D470" s="6471" t="s">
        <v>3257</v>
      </c>
      <c r="E470" s="6471" t="s">
        <v>3258</v>
      </c>
      <c r="F470" s="6471" t="s">
        <v>2394</v>
      </c>
      <c r="G470" s="6471" t="s">
        <v>3259</v>
      </c>
      <c r="H470" s="6471" t="s">
        <v>28</v>
      </c>
      <c r="I470" s="6471" t="s">
        <v>1759</v>
      </c>
    </row>
    <row customHeight="1" ht="11.25">
      <c r="A471" s="6471" t="s">
        <v>2387</v>
      </c>
      <c r="B471" s="6471" t="s">
        <v>16</v>
      </c>
      <c r="C471" s="6471" t="s">
        <v>3260</v>
      </c>
      <c r="D471" s="6471" t="s">
        <v>3261</v>
      </c>
      <c r="E471" s="6471" t="s">
        <v>3262</v>
      </c>
      <c r="F471" s="6471" t="s">
        <v>2390</v>
      </c>
      <c r="G471" s="6471" t="s">
        <v>3263</v>
      </c>
      <c r="H471" s="6471" t="s">
        <v>28</v>
      </c>
      <c r="I471" s="6471" t="s">
        <v>1759</v>
      </c>
    </row>
    <row customHeight="1" ht="11.25">
      <c r="A472" s="6471" t="s">
        <v>2387</v>
      </c>
      <c r="B472" s="6471" t="s">
        <v>16</v>
      </c>
      <c r="C472" s="6471" t="s">
        <v>3264</v>
      </c>
      <c r="D472" s="6471" t="s">
        <v>3265</v>
      </c>
      <c r="E472" s="6471" t="s">
        <v>3266</v>
      </c>
      <c r="F472" s="6471" t="s">
        <v>2497</v>
      </c>
      <c r="G472" s="6471" t="s">
        <v>28</v>
      </c>
      <c r="H472" s="6471" t="s">
        <v>28</v>
      </c>
      <c r="I472" s="6471" t="s">
        <v>1759</v>
      </c>
    </row>
    <row customHeight="1" ht="11.25">
      <c r="A473" s="6471" t="s">
        <v>2387</v>
      </c>
      <c r="B473" s="6471" t="s">
        <v>16</v>
      </c>
      <c r="C473" s="6471" t="s">
        <v>3267</v>
      </c>
      <c r="D473" s="6471" t="s">
        <v>3268</v>
      </c>
      <c r="E473" s="6471" t="s">
        <v>3269</v>
      </c>
      <c r="F473" s="6471" t="s">
        <v>2452</v>
      </c>
      <c r="G473" s="6471" t="s">
        <v>28</v>
      </c>
      <c r="H473" s="6471" t="s">
        <v>28</v>
      </c>
      <c r="I473" s="6471" t="s">
        <v>1759</v>
      </c>
    </row>
    <row customHeight="1" ht="11.25">
      <c r="A474" s="6471" t="s">
        <v>2387</v>
      </c>
      <c r="B474" s="6471" t="s">
        <v>16</v>
      </c>
      <c r="C474" s="6471" t="s">
        <v>3270</v>
      </c>
      <c r="D474" s="6471" t="s">
        <v>3271</v>
      </c>
      <c r="E474" s="6471" t="s">
        <v>3272</v>
      </c>
      <c r="F474" s="6471" t="s">
        <v>2419</v>
      </c>
      <c r="G474" s="6471" t="s">
        <v>3273</v>
      </c>
      <c r="H474" s="6471" t="s">
        <v>28</v>
      </c>
      <c r="I474" s="6471" t="s">
        <v>1759</v>
      </c>
    </row>
    <row customHeight="1" ht="11.25">
      <c r="A475" s="6471" t="s">
        <v>2387</v>
      </c>
      <c r="B475" s="6471" t="s">
        <v>16</v>
      </c>
      <c r="C475" s="6471" t="s">
        <v>3069</v>
      </c>
      <c r="D475" s="6471" t="s">
        <v>3070</v>
      </c>
      <c r="E475" s="6471" t="s">
        <v>3071</v>
      </c>
      <c r="F475" s="6471" t="s">
        <v>2511</v>
      </c>
      <c r="G475" s="6471" t="s">
        <v>28</v>
      </c>
      <c r="H475" s="6471" t="s">
        <v>28</v>
      </c>
      <c r="I475" s="6471" t="s">
        <v>1759</v>
      </c>
    </row>
    <row customHeight="1" ht="11.25">
      <c r="A476" s="6471" t="s">
        <v>2387</v>
      </c>
      <c r="B476" s="6471" t="s">
        <v>16</v>
      </c>
      <c r="C476" s="6471" t="s">
        <v>3274</v>
      </c>
      <c r="D476" s="6471" t="s">
        <v>3275</v>
      </c>
      <c r="E476" s="6471" t="s">
        <v>3276</v>
      </c>
      <c r="F476" s="6471" t="s">
        <v>2390</v>
      </c>
      <c r="G476" s="6471" t="s">
        <v>3277</v>
      </c>
      <c r="H476" s="6471" t="s">
        <v>28</v>
      </c>
      <c r="I476" s="6471" t="s">
        <v>1759</v>
      </c>
    </row>
    <row customHeight="1" ht="11.25">
      <c r="A477" s="6471" t="s">
        <v>2387</v>
      </c>
      <c r="B477" s="6471" t="s">
        <v>16</v>
      </c>
      <c r="C477" s="6471" t="s">
        <v>3278</v>
      </c>
      <c r="D477" s="6471" t="s">
        <v>3279</v>
      </c>
      <c r="E477" s="6471" t="s">
        <v>3280</v>
      </c>
      <c r="F477" s="6471" t="s">
        <v>2595</v>
      </c>
      <c r="G477" s="6471" t="s">
        <v>3281</v>
      </c>
      <c r="H477" s="6471" t="s">
        <v>28</v>
      </c>
      <c r="I477" s="6471" t="s">
        <v>1759</v>
      </c>
    </row>
    <row customHeight="1" ht="11.25">
      <c r="A478" s="6471" t="s">
        <v>2387</v>
      </c>
      <c r="B478" s="6471" t="s">
        <v>16</v>
      </c>
      <c r="C478" s="6471" t="s">
        <v>3282</v>
      </c>
      <c r="D478" s="6471" t="s">
        <v>3283</v>
      </c>
      <c r="E478" s="6471" t="s">
        <v>3284</v>
      </c>
      <c r="F478" s="6471" t="s">
        <v>2641</v>
      </c>
      <c r="G478" s="6471" t="s">
        <v>3285</v>
      </c>
      <c r="H478" s="6471" t="s">
        <v>28</v>
      </c>
      <c r="I478" s="6471" t="s">
        <v>1759</v>
      </c>
    </row>
    <row customHeight="1" ht="11.25">
      <c r="A479" s="6471" t="s">
        <v>2387</v>
      </c>
      <c r="B479" s="6471" t="s">
        <v>16</v>
      </c>
      <c r="C479" s="6471" t="s">
        <v>3286</v>
      </c>
      <c r="D479" s="6471" t="s">
        <v>3287</v>
      </c>
      <c r="E479" s="6471" t="s">
        <v>3288</v>
      </c>
      <c r="F479" s="6471" t="s">
        <v>2669</v>
      </c>
      <c r="G479" s="6471" t="s">
        <v>3289</v>
      </c>
      <c r="H479" s="6471" t="s">
        <v>28</v>
      </c>
      <c r="I479" s="6471" t="s">
        <v>1759</v>
      </c>
    </row>
    <row customHeight="1" ht="11.25">
      <c r="A480" s="6471" t="s">
        <v>2387</v>
      </c>
      <c r="B480" s="6471" t="s">
        <v>16</v>
      </c>
      <c r="C480" s="6471" t="s">
        <v>3290</v>
      </c>
      <c r="D480" s="6471" t="s">
        <v>3291</v>
      </c>
      <c r="E480" s="6471" t="s">
        <v>3292</v>
      </c>
      <c r="F480" s="6471" t="s">
        <v>2531</v>
      </c>
      <c r="G480" s="6471" t="s">
        <v>3293</v>
      </c>
      <c r="H480" s="6471" t="s">
        <v>28</v>
      </c>
      <c r="I480" s="6471" t="s">
        <v>1759</v>
      </c>
    </row>
    <row customHeight="1" ht="11.25">
      <c r="A481" s="6471" t="s">
        <v>2387</v>
      </c>
      <c r="B481" s="6471" t="s">
        <v>16</v>
      </c>
      <c r="C481" s="6471" t="s">
        <v>3294</v>
      </c>
      <c r="D481" s="6471" t="s">
        <v>3295</v>
      </c>
      <c r="E481" s="6471" t="s">
        <v>3296</v>
      </c>
      <c r="F481" s="6471" t="s">
        <v>2588</v>
      </c>
      <c r="G481" s="6471" t="s">
        <v>3297</v>
      </c>
      <c r="H481" s="6471" t="s">
        <v>28</v>
      </c>
      <c r="I481" s="6471" t="s">
        <v>1759</v>
      </c>
    </row>
    <row customHeight="1" ht="11.25">
      <c r="A482" s="6471" t="s">
        <v>2387</v>
      </c>
      <c r="B482" s="6471" t="s">
        <v>16</v>
      </c>
      <c r="C482" s="6471" t="s">
        <v>3298</v>
      </c>
      <c r="D482" s="6471" t="s">
        <v>3299</v>
      </c>
      <c r="E482" s="6471" t="s">
        <v>3300</v>
      </c>
      <c r="F482" s="6471" t="s">
        <v>2443</v>
      </c>
      <c r="G482" s="6471" t="s">
        <v>3301</v>
      </c>
      <c r="H482" s="6471" t="s">
        <v>28</v>
      </c>
      <c r="I482" s="6471" t="s">
        <v>1759</v>
      </c>
    </row>
    <row customHeight="1" ht="11.25">
      <c r="A483" s="6471" t="s">
        <v>2387</v>
      </c>
      <c r="B483" s="6471" t="s">
        <v>16</v>
      </c>
      <c r="C483" s="6471" t="s">
        <v>3302</v>
      </c>
      <c r="D483" s="6471" t="s">
        <v>3303</v>
      </c>
      <c r="E483" s="6471" t="s">
        <v>3304</v>
      </c>
      <c r="F483" s="6471" t="s">
        <v>2669</v>
      </c>
      <c r="G483" s="6471" t="s">
        <v>28</v>
      </c>
      <c r="H483" s="6471" t="s">
        <v>28</v>
      </c>
      <c r="I483" s="6471" t="s">
        <v>1759</v>
      </c>
    </row>
    <row customHeight="1" ht="11.25">
      <c r="A484" s="9790" t="s">
        <v>2387</v>
      </c>
      <c r="B484" s="9790" t="s">
        <v>16</v>
      </c>
      <c r="C484" s="9790" t="s">
        <v>3305</v>
      </c>
      <c r="D484" s="9790" t="s">
        <v>3306</v>
      </c>
      <c r="E484" s="9790" t="s">
        <v>3307</v>
      </c>
      <c r="F484" s="9790" t="s">
        <v>2588</v>
      </c>
      <c r="G484" s="9790" t="s">
        <v>3308</v>
      </c>
      <c r="H484" s="9790" t="s">
        <v>28</v>
      </c>
      <c r="I484" s="9790" t="s">
        <v>1759</v>
      </c>
    </row>
    <row customHeight="1" ht="11.25">
      <c r="A485" s="9790" t="s">
        <v>2387</v>
      </c>
      <c r="B485" s="9790" t="s">
        <v>16</v>
      </c>
      <c r="C485" s="9790" t="s">
        <v>3309</v>
      </c>
      <c r="D485" s="9790" t="s">
        <v>3310</v>
      </c>
      <c r="E485" s="9790" t="s">
        <v>3311</v>
      </c>
      <c r="F485" s="9790" t="s">
        <v>2431</v>
      </c>
      <c r="G485" s="9790" t="s">
        <v>3312</v>
      </c>
      <c r="H485" s="9790" t="s">
        <v>28</v>
      </c>
      <c r="I485" s="9790" t="s">
        <v>1759</v>
      </c>
    </row>
    <row customHeight="1" ht="11.25">
      <c r="A486" s="9790" t="s">
        <v>2387</v>
      </c>
      <c r="B486" s="9790" t="s">
        <v>16</v>
      </c>
      <c r="C486" s="9790" t="s">
        <v>3313</v>
      </c>
      <c r="D486" s="9790" t="s">
        <v>3314</v>
      </c>
      <c r="E486" s="9790" t="s">
        <v>3315</v>
      </c>
      <c r="F486" s="9790" t="s">
        <v>2394</v>
      </c>
      <c r="G486" s="9790" t="s">
        <v>3316</v>
      </c>
      <c r="H486" s="9790" t="s">
        <v>28</v>
      </c>
      <c r="I486" s="9790" t="s">
        <v>1759</v>
      </c>
    </row>
    <row customHeight="1" ht="11.25">
      <c r="A487" s="9790" t="s">
        <v>2387</v>
      </c>
      <c r="B487" s="9790" t="s">
        <v>16</v>
      </c>
      <c r="C487" s="9790" t="s">
        <v>3317</v>
      </c>
      <c r="D487" s="9790" t="s">
        <v>3318</v>
      </c>
      <c r="E487" s="9790" t="s">
        <v>3319</v>
      </c>
      <c r="F487" s="9790" t="s">
        <v>2394</v>
      </c>
      <c r="G487" s="9790" t="s">
        <v>3320</v>
      </c>
      <c r="H487" s="9790" t="s">
        <v>28</v>
      </c>
      <c r="I487" s="9790" t="s">
        <v>1759</v>
      </c>
    </row>
    <row customHeight="1" ht="11.25">
      <c r="A488" s="9790" t="s">
        <v>2387</v>
      </c>
      <c r="B488" s="9790" t="s">
        <v>16</v>
      </c>
      <c r="C488" s="9790" t="s">
        <v>3321</v>
      </c>
      <c r="D488" s="9790" t="s">
        <v>3322</v>
      </c>
      <c r="E488" s="9790" t="s">
        <v>3323</v>
      </c>
      <c r="F488" s="9790" t="s">
        <v>2523</v>
      </c>
      <c r="G488" s="9790" t="s">
        <v>3324</v>
      </c>
      <c r="H488" s="9790" t="s">
        <v>28</v>
      </c>
      <c r="I488" s="9790" t="s">
        <v>1759</v>
      </c>
    </row>
    <row customHeight="1" ht="11.25">
      <c r="A489" s="9790" t="s">
        <v>2387</v>
      </c>
      <c r="B489" s="9790" t="s">
        <v>16</v>
      </c>
      <c r="C489" s="9790" t="s">
        <v>3325</v>
      </c>
      <c r="D489" s="9790" t="s">
        <v>3326</v>
      </c>
      <c r="E489" s="9790" t="s">
        <v>3327</v>
      </c>
      <c r="F489" s="9790" t="s">
        <v>3117</v>
      </c>
      <c r="G489" s="9790" t="s">
        <v>3328</v>
      </c>
      <c r="H489" s="9790" t="s">
        <v>28</v>
      </c>
      <c r="I489" s="9790" t="s">
        <v>1759</v>
      </c>
    </row>
    <row customHeight="1" ht="11.25">
      <c r="A490" s="9790" t="s">
        <v>2387</v>
      </c>
      <c r="B490" s="9790" t="s">
        <v>16</v>
      </c>
      <c r="C490" s="9790" t="s">
        <v>3329</v>
      </c>
      <c r="D490" s="9790" t="s">
        <v>3330</v>
      </c>
      <c r="E490" s="9790" t="s">
        <v>3331</v>
      </c>
      <c r="F490" s="9790" t="s">
        <v>2452</v>
      </c>
      <c r="G490" s="9790" t="s">
        <v>28</v>
      </c>
      <c r="H490" s="9790" t="s">
        <v>28</v>
      </c>
      <c r="I490" s="9790" t="s">
        <v>1759</v>
      </c>
    </row>
    <row customHeight="1" ht="11.25">
      <c r="A491" s="9790" t="s">
        <v>2387</v>
      </c>
      <c r="B491" s="9790" t="s">
        <v>16</v>
      </c>
      <c r="C491" s="9790" t="s">
        <v>3332</v>
      </c>
      <c r="D491" s="9790" t="s">
        <v>3333</v>
      </c>
      <c r="E491" s="9790" t="s">
        <v>3334</v>
      </c>
      <c r="F491" s="9790" t="s">
        <v>2565</v>
      </c>
      <c r="G491" s="9790" t="s">
        <v>28</v>
      </c>
      <c r="H491" s="9790" t="s">
        <v>28</v>
      </c>
      <c r="I491" s="9790" t="s">
        <v>1759</v>
      </c>
    </row>
    <row customHeight="1" ht="11.25">
      <c r="A492" s="9790" t="s">
        <v>2387</v>
      </c>
      <c r="B492" s="9790" t="s">
        <v>16</v>
      </c>
      <c r="C492" s="9790" t="s">
        <v>3335</v>
      </c>
      <c r="D492" s="9790" t="s">
        <v>3336</v>
      </c>
      <c r="E492" s="9790" t="s">
        <v>3337</v>
      </c>
      <c r="F492" s="9790" t="s">
        <v>2394</v>
      </c>
      <c r="G492" s="9790" t="s">
        <v>28</v>
      </c>
      <c r="H492" s="9790" t="s">
        <v>28</v>
      </c>
      <c r="I492" s="9790" t="s">
        <v>1759</v>
      </c>
    </row>
    <row customHeight="1" ht="11.25">
      <c r="A493" s="9790" t="s">
        <v>2387</v>
      </c>
      <c r="B493" s="9790" t="s">
        <v>16</v>
      </c>
      <c r="C493" s="9790" t="s">
        <v>3338</v>
      </c>
      <c r="D493" s="9790" t="s">
        <v>3339</v>
      </c>
      <c r="E493" s="9790" t="s">
        <v>3340</v>
      </c>
      <c r="F493" s="9790" t="s">
        <v>2810</v>
      </c>
      <c r="G493" s="9790" t="s">
        <v>28</v>
      </c>
      <c r="H493" s="9790" t="s">
        <v>28</v>
      </c>
      <c r="I493" s="9790" t="s">
        <v>1759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996A31-ECC2-5BD8-A32C-AEB9952A0F1C}" mc:Ignorable="x14ac xr xr2 xr3">
  <sheetPr>
    <tabColor rgb="FFFFCC99"/>
  </sheetPr>
  <dimension ref="A1:G107"/>
  <sheetViews>
    <sheetView topLeftCell="A1" showGridLines="0" workbookViewId="0">
      <selection activeCell="A1" sqref="A1"/>
    </sheetView>
  </sheetViews>
  <sheetFormatPr customHeight="1" defaultRowHeight="11.25"/>
  <cols>
    <col min="1" max="1" style="50942" width="9.140625"/>
  </cols>
  <sheetData>
    <row customHeight="1" ht="11.25">
      <c r="A1" s="885" t="s">
        <v>3341</v>
      </c>
      <c r="B1" s="574" t="s">
        <v>3342</v>
      </c>
      <c r="C1" s="574" t="s">
        <v>3343</v>
      </c>
      <c r="D1" s="574" t="s">
        <v>3344</v>
      </c>
      <c r="E1" s="461" t="s">
        <v>3345</v>
      </c>
      <c r="F1" s="461" t="s">
        <v>3346</v>
      </c>
      <c r="G1" s="461" t="s">
        <v>3347</v>
      </c>
    </row>
    <row customHeight="1" ht="11.25">
      <c r="A2" s="885" t="s">
        <v>16</v>
      </c>
      <c r="B2" s="0" t="s">
        <v>102</v>
      </c>
      <c r="C2" s="0" t="s">
        <v>103</v>
      </c>
      <c r="D2" s="0" t="s">
        <v>102</v>
      </c>
      <c r="E2" s="0" t="s">
        <v>103</v>
      </c>
      <c r="F2" s="0" t="s">
        <v>3348</v>
      </c>
      <c r="G2" s="0" t="s">
        <v>101</v>
      </c>
    </row>
    <row customHeight="1" ht="11.25">
      <c r="A3" s="885" t="s">
        <v>16</v>
      </c>
      <c r="B3" s="0" t="s">
        <v>3349</v>
      </c>
      <c r="C3" s="0" t="s">
        <v>3350</v>
      </c>
      <c r="D3" s="0" t="s">
        <v>3349</v>
      </c>
      <c r="E3" s="0" t="s">
        <v>3350</v>
      </c>
      <c r="F3" s="0" t="s">
        <v>3351</v>
      </c>
      <c r="G3" s="0" t="s">
        <v>105</v>
      </c>
    </row>
    <row customHeight="1" ht="11.25">
      <c r="A4" s="885" t="s">
        <v>16</v>
      </c>
      <c r="B4" s="0" t="s">
        <v>3352</v>
      </c>
      <c r="C4" s="0" t="s">
        <v>3353</v>
      </c>
      <c r="D4" s="0" t="s">
        <v>3352</v>
      </c>
      <c r="E4" s="0" t="s">
        <v>3353</v>
      </c>
      <c r="F4" s="0" t="s">
        <v>3351</v>
      </c>
      <c r="G4" s="0" t="s">
        <v>92</v>
      </c>
    </row>
    <row customHeight="1" ht="11.25">
      <c r="A5" s="885" t="s">
        <v>16</v>
      </c>
      <c r="B5" s="0" t="s">
        <v>3354</v>
      </c>
      <c r="C5" s="0" t="s">
        <v>3355</v>
      </c>
      <c r="D5" s="0" t="s">
        <v>3354</v>
      </c>
      <c r="E5" s="0" t="s">
        <v>3355</v>
      </c>
      <c r="F5" s="0" t="s">
        <v>3351</v>
      </c>
      <c r="G5" s="0" t="s">
        <v>93</v>
      </c>
    </row>
    <row customHeight="1" ht="11.25">
      <c r="A6" s="885" t="s">
        <v>16</v>
      </c>
      <c r="B6" s="0" t="s">
        <v>166</v>
      </c>
      <c r="C6" s="0" t="s">
        <v>167</v>
      </c>
      <c r="D6" s="0" t="s">
        <v>166</v>
      </c>
      <c r="E6" s="0" t="s">
        <v>167</v>
      </c>
      <c r="F6" s="0" t="s">
        <v>3351</v>
      </c>
      <c r="G6" s="0" t="s">
        <v>121</v>
      </c>
    </row>
    <row customHeight="1" ht="11.25">
      <c r="A7" s="885" t="s">
        <v>16</v>
      </c>
      <c r="B7" s="0" t="s">
        <v>158</v>
      </c>
      <c r="C7" s="0" t="s">
        <v>159</v>
      </c>
      <c r="D7" s="0" t="s">
        <v>158</v>
      </c>
      <c r="E7" s="0" t="s">
        <v>159</v>
      </c>
      <c r="F7" s="0" t="s">
        <v>3351</v>
      </c>
      <c r="G7" s="0" t="s">
        <v>94</v>
      </c>
    </row>
    <row customHeight="1" ht="11.25">
      <c r="A8" s="885" t="s">
        <v>16</v>
      </c>
      <c r="B8" s="0" t="s">
        <v>162</v>
      </c>
      <c r="C8" s="0" t="s">
        <v>163</v>
      </c>
      <c r="D8" s="0" t="s">
        <v>162</v>
      </c>
      <c r="E8" s="0" t="s">
        <v>163</v>
      </c>
      <c r="F8" s="0" t="s">
        <v>3351</v>
      </c>
      <c r="G8" s="0" t="s">
        <v>95</v>
      </c>
    </row>
    <row customHeight="1" ht="11.25">
      <c r="A9" s="885" t="s">
        <v>16</v>
      </c>
      <c r="B9" s="0" t="s">
        <v>3356</v>
      </c>
      <c r="C9" s="0" t="s">
        <v>3357</v>
      </c>
      <c r="D9" s="0" t="s">
        <v>3358</v>
      </c>
      <c r="E9" s="0" t="s">
        <v>3359</v>
      </c>
      <c r="F9" s="0" t="s">
        <v>3360</v>
      </c>
      <c r="G9" s="0" t="s">
        <v>135</v>
      </c>
    </row>
    <row customHeight="1" ht="11.25">
      <c r="A10" s="885" t="s">
        <v>16</v>
      </c>
      <c r="B10" s="0" t="s">
        <v>3356</v>
      </c>
      <c r="C10" s="0" t="s">
        <v>3357</v>
      </c>
      <c r="D10" s="0" t="s">
        <v>3356</v>
      </c>
      <c r="E10" s="0" t="s">
        <v>3357</v>
      </c>
      <c r="F10" s="0" t="s">
        <v>3361</v>
      </c>
      <c r="G10" s="0" t="s">
        <v>140</v>
      </c>
    </row>
    <row customHeight="1" ht="11.25">
      <c r="A11" s="885" t="s">
        <v>16</v>
      </c>
      <c r="B11" s="0" t="s">
        <v>3356</v>
      </c>
      <c r="C11" s="0" t="s">
        <v>3357</v>
      </c>
      <c r="D11" s="0" t="s">
        <v>3362</v>
      </c>
      <c r="E11" s="0" t="s">
        <v>3363</v>
      </c>
      <c r="F11" s="0" t="s">
        <v>3360</v>
      </c>
      <c r="G11" s="0" t="s">
        <v>145</v>
      </c>
    </row>
    <row customHeight="1" ht="11.25">
      <c r="A12" s="885" t="s">
        <v>16</v>
      </c>
      <c r="B12" s="0" t="s">
        <v>3356</v>
      </c>
      <c r="C12" s="0" t="s">
        <v>3357</v>
      </c>
      <c r="D12" s="0" t="s">
        <v>3364</v>
      </c>
      <c r="E12" s="0" t="s">
        <v>3365</v>
      </c>
      <c r="F12" s="0" t="s">
        <v>3366</v>
      </c>
      <c r="G12" s="0" t="s">
        <v>151</v>
      </c>
    </row>
    <row customHeight="1" ht="11.25">
      <c r="A13" s="885" t="s">
        <v>16</v>
      </c>
      <c r="B13" s="0" t="s">
        <v>3356</v>
      </c>
      <c r="C13" s="0" t="s">
        <v>3357</v>
      </c>
      <c r="D13" s="0" t="s">
        <v>3367</v>
      </c>
      <c r="E13" s="0" t="s">
        <v>3368</v>
      </c>
      <c r="F13" s="0" t="s">
        <v>3360</v>
      </c>
      <c r="G13" s="0" t="s">
        <v>156</v>
      </c>
    </row>
    <row customHeight="1" ht="11.25">
      <c r="A14" s="885" t="s">
        <v>16</v>
      </c>
      <c r="B14" s="0" t="s">
        <v>3356</v>
      </c>
      <c r="C14" s="0" t="s">
        <v>3357</v>
      </c>
      <c r="D14" s="0" t="s">
        <v>3369</v>
      </c>
      <c r="E14" s="0" t="s">
        <v>3370</v>
      </c>
      <c r="F14" s="0" t="s">
        <v>3360</v>
      </c>
      <c r="G14" s="0" t="s">
        <v>160</v>
      </c>
    </row>
    <row customHeight="1" ht="11.25">
      <c r="A15" s="885" t="s">
        <v>16</v>
      </c>
      <c r="B15" s="0" t="s">
        <v>3356</v>
      </c>
      <c r="C15" s="0" t="s">
        <v>3357</v>
      </c>
      <c r="D15" s="0" t="s">
        <v>3371</v>
      </c>
      <c r="E15" s="0" t="s">
        <v>3372</v>
      </c>
      <c r="F15" s="0" t="s">
        <v>3360</v>
      </c>
      <c r="G15" s="0" t="s">
        <v>164</v>
      </c>
    </row>
    <row customHeight="1" ht="11.25">
      <c r="A16" s="885" t="s">
        <v>16</v>
      </c>
      <c r="B16" s="0" t="s">
        <v>3356</v>
      </c>
      <c r="C16" s="0" t="s">
        <v>3357</v>
      </c>
      <c r="D16" s="0" t="s">
        <v>3373</v>
      </c>
      <c r="E16" s="0" t="s">
        <v>3374</v>
      </c>
      <c r="F16" s="0" t="s">
        <v>3360</v>
      </c>
      <c r="G16" s="0" t="s">
        <v>168</v>
      </c>
    </row>
    <row customHeight="1" ht="11.25">
      <c r="A17" s="885" t="s">
        <v>16</v>
      </c>
      <c r="B17" s="0" t="s">
        <v>119</v>
      </c>
      <c r="C17" s="0" t="s">
        <v>120</v>
      </c>
      <c r="D17" s="0" t="s">
        <v>119</v>
      </c>
      <c r="E17" s="0" t="s">
        <v>120</v>
      </c>
      <c r="F17" s="0" t="s">
        <v>3348</v>
      </c>
      <c r="G17" s="0" t="s">
        <v>118</v>
      </c>
    </row>
    <row customHeight="1" ht="11.25">
      <c r="A18" s="885" t="s">
        <v>16</v>
      </c>
      <c r="B18" s="0" t="s">
        <v>3375</v>
      </c>
      <c r="C18" s="0" t="s">
        <v>3376</v>
      </c>
      <c r="D18" s="0" t="s">
        <v>3377</v>
      </c>
      <c r="E18" s="0" t="s">
        <v>3378</v>
      </c>
      <c r="F18" s="0" t="s">
        <v>3360</v>
      </c>
      <c r="G18" s="0" t="s">
        <v>1622</v>
      </c>
    </row>
    <row customHeight="1" ht="11.25">
      <c r="A19" s="885" t="s">
        <v>16</v>
      </c>
      <c r="B19" s="0" t="s">
        <v>3375</v>
      </c>
      <c r="C19" s="0" t="s">
        <v>3376</v>
      </c>
      <c r="D19" s="0" t="s">
        <v>3379</v>
      </c>
      <c r="E19" s="0" t="s">
        <v>3380</v>
      </c>
      <c r="F19" s="0" t="s">
        <v>3381</v>
      </c>
      <c r="G19" s="0" t="s">
        <v>1636</v>
      </c>
    </row>
    <row customHeight="1" ht="11.25">
      <c r="A20" s="885" t="s">
        <v>16</v>
      </c>
      <c r="B20" s="0" t="s">
        <v>3375</v>
      </c>
      <c r="C20" s="0" t="s">
        <v>3376</v>
      </c>
      <c r="D20" s="0" t="s">
        <v>3375</v>
      </c>
      <c r="E20" s="0" t="s">
        <v>3376</v>
      </c>
      <c r="F20" s="0" t="s">
        <v>3361</v>
      </c>
      <c r="G20" s="0" t="s">
        <v>1648</v>
      </c>
    </row>
    <row customHeight="1" ht="11.25">
      <c r="A21" s="885" t="s">
        <v>16</v>
      </c>
      <c r="B21" s="0" t="s">
        <v>3375</v>
      </c>
      <c r="C21" s="0" t="s">
        <v>3376</v>
      </c>
      <c r="D21" s="0" t="s">
        <v>3382</v>
      </c>
      <c r="E21" s="0" t="s">
        <v>3383</v>
      </c>
      <c r="F21" s="0" t="s">
        <v>3381</v>
      </c>
      <c r="G21" s="0" t="s">
        <v>1657</v>
      </c>
    </row>
    <row customHeight="1" ht="11.25">
      <c r="A22" s="885" t="s">
        <v>16</v>
      </c>
      <c r="B22" s="0" t="s">
        <v>3375</v>
      </c>
      <c r="C22" s="0" t="s">
        <v>3376</v>
      </c>
      <c r="D22" s="0" t="s">
        <v>3384</v>
      </c>
      <c r="E22" s="0" t="s">
        <v>3385</v>
      </c>
      <c r="F22" s="0" t="s">
        <v>3360</v>
      </c>
      <c r="G22" s="0" t="s">
        <v>1673</v>
      </c>
    </row>
    <row customHeight="1" ht="11.25">
      <c r="A23" s="885" t="s">
        <v>16</v>
      </c>
      <c r="B23" s="0" t="s">
        <v>3375</v>
      </c>
      <c r="C23" s="0" t="s">
        <v>3376</v>
      </c>
      <c r="D23" s="0" t="s">
        <v>3386</v>
      </c>
      <c r="E23" s="0" t="s">
        <v>3387</v>
      </c>
      <c r="F23" s="0" t="s">
        <v>3366</v>
      </c>
      <c r="G23" s="0" t="s">
        <v>1680</v>
      </c>
    </row>
    <row customHeight="1" ht="11.25">
      <c r="A24" s="885" t="s">
        <v>16</v>
      </c>
      <c r="B24" s="0" t="s">
        <v>3375</v>
      </c>
      <c r="C24" s="0" t="s">
        <v>3376</v>
      </c>
      <c r="D24" s="0" t="s">
        <v>3388</v>
      </c>
      <c r="E24" s="0" t="s">
        <v>3389</v>
      </c>
      <c r="F24" s="0" t="s">
        <v>3360</v>
      </c>
      <c r="G24" s="0" t="s">
        <v>1688</v>
      </c>
    </row>
    <row customHeight="1" ht="11.25">
      <c r="A25" s="885" t="s">
        <v>16</v>
      </c>
      <c r="B25" s="0" t="s">
        <v>3375</v>
      </c>
      <c r="C25" s="0" t="s">
        <v>3376</v>
      </c>
      <c r="D25" s="0" t="s">
        <v>3390</v>
      </c>
      <c r="E25" s="0" t="s">
        <v>3391</v>
      </c>
      <c r="F25" s="0" t="s">
        <v>3360</v>
      </c>
      <c r="G25" s="0" t="s">
        <v>1695</v>
      </c>
    </row>
    <row customHeight="1" ht="11.25">
      <c r="A26" s="885" t="s">
        <v>16</v>
      </c>
      <c r="B26" s="0" t="s">
        <v>3392</v>
      </c>
      <c r="C26" s="0" t="s">
        <v>3393</v>
      </c>
      <c r="D26" s="0" t="s">
        <v>3392</v>
      </c>
      <c r="E26" s="0" t="s">
        <v>3393</v>
      </c>
      <c r="F26" s="0" t="s">
        <v>3348</v>
      </c>
      <c r="G26" s="0" t="s">
        <v>1699</v>
      </c>
    </row>
    <row customHeight="1" ht="11.25">
      <c r="A27" s="885" t="s">
        <v>16</v>
      </c>
      <c r="B27" s="0" t="s">
        <v>109</v>
      </c>
      <c r="C27" s="0" t="s">
        <v>3394</v>
      </c>
      <c r="D27" s="0" t="s">
        <v>3395</v>
      </c>
      <c r="E27" s="0" t="s">
        <v>3396</v>
      </c>
      <c r="F27" s="0" t="s">
        <v>3381</v>
      </c>
      <c r="G27" s="0" t="s">
        <v>1704</v>
      </c>
    </row>
    <row customHeight="1" ht="11.25">
      <c r="A28" s="885" t="s">
        <v>16</v>
      </c>
      <c r="B28" s="0" t="s">
        <v>109</v>
      </c>
      <c r="C28" s="0" t="s">
        <v>3394</v>
      </c>
      <c r="D28" s="0" t="s">
        <v>3397</v>
      </c>
      <c r="E28" s="0" t="s">
        <v>3398</v>
      </c>
      <c r="F28" s="0" t="s">
        <v>3360</v>
      </c>
      <c r="G28" s="0" t="s">
        <v>1712</v>
      </c>
    </row>
    <row customHeight="1" ht="11.25">
      <c r="A29" s="885" t="s">
        <v>16</v>
      </c>
      <c r="B29" s="0" t="s">
        <v>109</v>
      </c>
      <c r="C29" s="0" t="s">
        <v>3394</v>
      </c>
      <c r="D29" s="0" t="s">
        <v>110</v>
      </c>
      <c r="E29" s="0" t="s">
        <v>111</v>
      </c>
      <c r="F29" s="0" t="s">
        <v>3360</v>
      </c>
      <c r="G29" s="0" t="s">
        <v>108</v>
      </c>
    </row>
    <row customHeight="1" ht="11.25">
      <c r="A30" s="885" t="s">
        <v>16</v>
      </c>
      <c r="B30" s="0" t="s">
        <v>109</v>
      </c>
      <c r="C30" s="0" t="s">
        <v>3394</v>
      </c>
      <c r="D30" s="0" t="s">
        <v>3399</v>
      </c>
      <c r="E30" s="0" t="s">
        <v>3400</v>
      </c>
      <c r="F30" s="0" t="s">
        <v>3360</v>
      </c>
      <c r="G30" s="0" t="s">
        <v>1716</v>
      </c>
    </row>
    <row customHeight="1" ht="11.25">
      <c r="A31" s="885" t="s">
        <v>16</v>
      </c>
      <c r="B31" s="0" t="s">
        <v>109</v>
      </c>
      <c r="C31" s="0" t="s">
        <v>3394</v>
      </c>
      <c r="D31" s="0" t="s">
        <v>3401</v>
      </c>
      <c r="E31" s="0" t="s">
        <v>3402</v>
      </c>
      <c r="F31" s="0" t="s">
        <v>3360</v>
      </c>
      <c r="G31" s="0" t="s">
        <v>1721</v>
      </c>
    </row>
    <row customHeight="1" ht="11.25">
      <c r="A32" s="885" t="s">
        <v>16</v>
      </c>
      <c r="B32" s="0" t="s">
        <v>109</v>
      </c>
      <c r="C32" s="0" t="s">
        <v>3394</v>
      </c>
      <c r="D32" s="0" t="s">
        <v>109</v>
      </c>
      <c r="E32" s="0" t="s">
        <v>3394</v>
      </c>
      <c r="F32" s="0" t="s">
        <v>3361</v>
      </c>
      <c r="G32" s="0" t="s">
        <v>1723</v>
      </c>
    </row>
    <row customHeight="1" ht="11.25">
      <c r="A33" s="885" t="s">
        <v>16</v>
      </c>
      <c r="B33" s="0" t="s">
        <v>109</v>
      </c>
      <c r="C33" s="0" t="s">
        <v>3394</v>
      </c>
      <c r="D33" s="0" t="s">
        <v>3403</v>
      </c>
      <c r="E33" s="0" t="s">
        <v>3404</v>
      </c>
      <c r="F33" s="0" t="s">
        <v>3360</v>
      </c>
      <c r="G33" s="0" t="s">
        <v>1725</v>
      </c>
    </row>
    <row customHeight="1" ht="11.25">
      <c r="A34" s="885" t="s">
        <v>16</v>
      </c>
      <c r="B34" s="0" t="s">
        <v>109</v>
      </c>
      <c r="C34" s="0" t="s">
        <v>3394</v>
      </c>
      <c r="D34" s="0" t="s">
        <v>3405</v>
      </c>
      <c r="E34" s="0" t="s">
        <v>3406</v>
      </c>
      <c r="F34" s="0" t="s">
        <v>3360</v>
      </c>
      <c r="G34" s="0" t="s">
        <v>1727</v>
      </c>
    </row>
    <row customHeight="1" ht="11.25">
      <c r="A35" s="885" t="s">
        <v>16</v>
      </c>
      <c r="B35" s="0" t="s">
        <v>109</v>
      </c>
      <c r="C35" s="0" t="s">
        <v>3394</v>
      </c>
      <c r="D35" s="0" t="s">
        <v>3407</v>
      </c>
      <c r="E35" s="0" t="s">
        <v>3408</v>
      </c>
      <c r="F35" s="0" t="s">
        <v>3360</v>
      </c>
      <c r="G35" s="0" t="s">
        <v>1732</v>
      </c>
    </row>
    <row customHeight="1" ht="11.25">
      <c r="A36" s="885" t="s">
        <v>16</v>
      </c>
      <c r="B36" s="0" t="s">
        <v>109</v>
      </c>
      <c r="C36" s="0" t="s">
        <v>3394</v>
      </c>
      <c r="D36" s="0" t="s">
        <v>3409</v>
      </c>
      <c r="E36" s="0" t="s">
        <v>3410</v>
      </c>
      <c r="F36" s="0" t="s">
        <v>3360</v>
      </c>
      <c r="G36" s="0" t="s">
        <v>1737</v>
      </c>
    </row>
    <row customHeight="1" ht="11.25">
      <c r="A37" s="885" t="s">
        <v>16</v>
      </c>
      <c r="B37" s="0" t="s">
        <v>109</v>
      </c>
      <c r="C37" s="0" t="s">
        <v>3394</v>
      </c>
      <c r="D37" s="0" t="s">
        <v>3411</v>
      </c>
      <c r="E37" s="0" t="s">
        <v>3412</v>
      </c>
      <c r="F37" s="0" t="s">
        <v>3360</v>
      </c>
      <c r="G37" s="0" t="s">
        <v>1741</v>
      </c>
    </row>
    <row customHeight="1" ht="11.25">
      <c r="A38" s="885" t="s">
        <v>16</v>
      </c>
      <c r="B38" s="0" t="s">
        <v>3413</v>
      </c>
      <c r="C38" s="0" t="s">
        <v>3414</v>
      </c>
      <c r="D38" s="0" t="s">
        <v>3413</v>
      </c>
      <c r="E38" s="0" t="s">
        <v>3414</v>
      </c>
      <c r="F38" s="0" t="s">
        <v>3348</v>
      </c>
      <c r="G38" s="0" t="s">
        <v>1749</v>
      </c>
    </row>
    <row customHeight="1" ht="11.25">
      <c r="A39" s="885" t="s">
        <v>16</v>
      </c>
      <c r="B39" s="0" t="s">
        <v>3415</v>
      </c>
      <c r="C39" s="0" t="s">
        <v>3416</v>
      </c>
      <c r="D39" s="0" t="s">
        <v>3415</v>
      </c>
      <c r="E39" s="0" t="s">
        <v>3416</v>
      </c>
      <c r="F39" s="0" t="s">
        <v>3351</v>
      </c>
      <c r="G39" s="0" t="s">
        <v>1755</v>
      </c>
    </row>
    <row customHeight="1" ht="11.25">
      <c r="A40" s="885" t="s">
        <v>16</v>
      </c>
      <c r="B40" s="0" t="s">
        <v>114</v>
      </c>
      <c r="C40" s="0" t="s">
        <v>3417</v>
      </c>
      <c r="D40" s="0" t="s">
        <v>3418</v>
      </c>
      <c r="E40" s="0" t="s">
        <v>3419</v>
      </c>
      <c r="F40" s="0" t="s">
        <v>3360</v>
      </c>
      <c r="G40" s="0" t="s">
        <v>1760</v>
      </c>
    </row>
    <row customHeight="1" ht="11.25">
      <c r="A41" s="885" t="s">
        <v>16</v>
      </c>
      <c r="B41" s="0" t="s">
        <v>114</v>
      </c>
      <c r="C41" s="0" t="s">
        <v>3417</v>
      </c>
      <c r="D41" s="0" t="s">
        <v>3420</v>
      </c>
      <c r="E41" s="0" t="s">
        <v>3421</v>
      </c>
      <c r="F41" s="0" t="s">
        <v>3360</v>
      </c>
      <c r="G41" s="0" t="s">
        <v>1764</v>
      </c>
    </row>
    <row customHeight="1" ht="11.25">
      <c r="A42" s="885" t="s">
        <v>16</v>
      </c>
      <c r="B42" s="0" t="s">
        <v>114</v>
      </c>
      <c r="C42" s="0" t="s">
        <v>3417</v>
      </c>
      <c r="D42" s="0" t="s">
        <v>3422</v>
      </c>
      <c r="E42" s="0" t="s">
        <v>3423</v>
      </c>
      <c r="F42" s="0" t="s">
        <v>3360</v>
      </c>
      <c r="G42" s="0" t="s">
        <v>1767</v>
      </c>
    </row>
    <row customHeight="1" ht="11.25">
      <c r="A43" s="885" t="s">
        <v>16</v>
      </c>
      <c r="B43" s="0" t="s">
        <v>114</v>
      </c>
      <c r="C43" s="0" t="s">
        <v>3417</v>
      </c>
      <c r="D43" s="0" t="s">
        <v>114</v>
      </c>
      <c r="E43" s="0" t="s">
        <v>3417</v>
      </c>
      <c r="F43" s="0" t="s">
        <v>3361</v>
      </c>
      <c r="G43" s="0" t="s">
        <v>1774</v>
      </c>
    </row>
    <row customHeight="1" ht="11.25">
      <c r="A44" s="885" t="s">
        <v>16</v>
      </c>
      <c r="B44" s="0" t="s">
        <v>114</v>
      </c>
      <c r="C44" s="0" t="s">
        <v>3417</v>
      </c>
      <c r="D44" s="0" t="s">
        <v>3424</v>
      </c>
      <c r="E44" s="0" t="s">
        <v>3425</v>
      </c>
      <c r="F44" s="0" t="s">
        <v>3360</v>
      </c>
      <c r="G44" s="0" t="s">
        <v>1783</v>
      </c>
    </row>
    <row customHeight="1" ht="11.25">
      <c r="A45" s="885" t="s">
        <v>16</v>
      </c>
      <c r="B45" s="0" t="s">
        <v>114</v>
      </c>
      <c r="C45" s="0" t="s">
        <v>3417</v>
      </c>
      <c r="D45" s="0" t="s">
        <v>115</v>
      </c>
      <c r="E45" s="0" t="s">
        <v>116</v>
      </c>
      <c r="F45" s="0" t="s">
        <v>3381</v>
      </c>
      <c r="G45" s="0" t="s">
        <v>113</v>
      </c>
    </row>
    <row customHeight="1" ht="11.25">
      <c r="A46" s="885" t="s">
        <v>16</v>
      </c>
      <c r="B46" s="0" t="s">
        <v>114</v>
      </c>
      <c r="C46" s="0" t="s">
        <v>3417</v>
      </c>
      <c r="D46" s="0" t="s">
        <v>3426</v>
      </c>
      <c r="E46" s="0" t="s">
        <v>3427</v>
      </c>
      <c r="F46" s="0" t="s">
        <v>3360</v>
      </c>
      <c r="G46" s="0" t="s">
        <v>1791</v>
      </c>
    </row>
    <row customHeight="1" ht="11.25">
      <c r="A47" s="885" t="s">
        <v>16</v>
      </c>
      <c r="B47" s="0" t="s">
        <v>114</v>
      </c>
      <c r="C47" s="0" t="s">
        <v>3417</v>
      </c>
      <c r="D47" s="0" t="s">
        <v>3428</v>
      </c>
      <c r="E47" s="0" t="s">
        <v>3429</v>
      </c>
      <c r="F47" s="0" t="s">
        <v>3360</v>
      </c>
      <c r="G47" s="0" t="s">
        <v>1797</v>
      </c>
    </row>
    <row customHeight="1" ht="11.25">
      <c r="A48" s="885" t="s">
        <v>16</v>
      </c>
      <c r="B48" s="0" t="s">
        <v>3430</v>
      </c>
      <c r="C48" s="0" t="s">
        <v>3431</v>
      </c>
      <c r="D48" s="0" t="s">
        <v>3430</v>
      </c>
      <c r="E48" s="0" t="s">
        <v>3431</v>
      </c>
      <c r="F48" s="0" t="s">
        <v>3361</v>
      </c>
      <c r="G48" s="0" t="s">
        <v>1801</v>
      </c>
    </row>
    <row customHeight="1" ht="11.25">
      <c r="A49" s="885" t="s">
        <v>16</v>
      </c>
      <c r="B49" s="0" t="s">
        <v>3430</v>
      </c>
      <c r="C49" s="0" t="s">
        <v>3431</v>
      </c>
      <c r="D49" s="0" t="s">
        <v>3432</v>
      </c>
      <c r="E49" s="0" t="s">
        <v>3433</v>
      </c>
      <c r="F49" s="0" t="s">
        <v>3360</v>
      </c>
      <c r="G49" s="0" t="s">
        <v>1804</v>
      </c>
    </row>
    <row customHeight="1" ht="11.25">
      <c r="A50" s="885" t="s">
        <v>16</v>
      </c>
      <c r="B50" s="0" t="s">
        <v>3430</v>
      </c>
      <c r="C50" s="0" t="s">
        <v>3431</v>
      </c>
      <c r="D50" s="0" t="s">
        <v>3434</v>
      </c>
      <c r="E50" s="0" t="s">
        <v>3435</v>
      </c>
      <c r="F50" s="0" t="s">
        <v>3360</v>
      </c>
      <c r="G50" s="0" t="s">
        <v>1808</v>
      </c>
    </row>
    <row customHeight="1" ht="11.25">
      <c r="A51" s="885" t="s">
        <v>16</v>
      </c>
      <c r="B51" s="0" t="s">
        <v>3430</v>
      </c>
      <c r="C51" s="0" t="s">
        <v>3431</v>
      </c>
      <c r="D51" s="0" t="s">
        <v>3436</v>
      </c>
      <c r="E51" s="0" t="s">
        <v>3437</v>
      </c>
      <c r="F51" s="0" t="s">
        <v>3360</v>
      </c>
      <c r="G51" s="0" t="s">
        <v>1812</v>
      </c>
    </row>
    <row customHeight="1" ht="11.25">
      <c r="A52" s="885" t="s">
        <v>16</v>
      </c>
      <c r="B52" s="0" t="s">
        <v>3438</v>
      </c>
      <c r="C52" s="0" t="s">
        <v>3439</v>
      </c>
      <c r="D52" s="0" t="s">
        <v>3438</v>
      </c>
      <c r="E52" s="0" t="s">
        <v>3439</v>
      </c>
      <c r="F52" s="0" t="s">
        <v>3351</v>
      </c>
      <c r="G52" s="0" t="s">
        <v>1816</v>
      </c>
    </row>
    <row customHeight="1" ht="11.25">
      <c r="A53" s="885" t="s">
        <v>16</v>
      </c>
      <c r="B53" s="0" t="s">
        <v>3440</v>
      </c>
      <c r="C53" s="0" t="s">
        <v>3441</v>
      </c>
      <c r="D53" s="0" t="s">
        <v>3440</v>
      </c>
      <c r="E53" s="0" t="s">
        <v>3441</v>
      </c>
      <c r="F53" s="0" t="s">
        <v>3348</v>
      </c>
      <c r="G53" s="0" t="s">
        <v>1818</v>
      </c>
    </row>
    <row customHeight="1" ht="11.25">
      <c r="A54" s="885" t="s">
        <v>16</v>
      </c>
      <c r="B54" s="0" t="s">
        <v>3442</v>
      </c>
      <c r="C54" s="0" t="s">
        <v>3443</v>
      </c>
      <c r="D54" s="0" t="s">
        <v>3442</v>
      </c>
      <c r="E54" s="0" t="s">
        <v>3443</v>
      </c>
      <c r="F54" s="0" t="s">
        <v>3348</v>
      </c>
      <c r="G54" s="0" t="s">
        <v>1821</v>
      </c>
    </row>
    <row customHeight="1" ht="11.25">
      <c r="A55" s="885" t="s">
        <v>16</v>
      </c>
      <c r="B55" s="0" t="s">
        <v>3444</v>
      </c>
      <c r="C55" s="0" t="s">
        <v>3445</v>
      </c>
      <c r="D55" s="0" t="s">
        <v>3444</v>
      </c>
      <c r="E55" s="0" t="s">
        <v>3445</v>
      </c>
      <c r="F55" s="0" t="s">
        <v>3351</v>
      </c>
      <c r="G55" s="0" t="s">
        <v>1826</v>
      </c>
    </row>
    <row customHeight="1" ht="11.25">
      <c r="A56" s="885" t="s">
        <v>16</v>
      </c>
      <c r="B56" s="0" t="s">
        <v>3446</v>
      </c>
      <c r="C56" s="0" t="s">
        <v>3447</v>
      </c>
      <c r="D56" s="0" t="s">
        <v>3446</v>
      </c>
      <c r="E56" s="0" t="s">
        <v>3447</v>
      </c>
      <c r="F56" s="0" t="s">
        <v>3348</v>
      </c>
      <c r="G56" s="0" t="s">
        <v>1829</v>
      </c>
    </row>
    <row customHeight="1" ht="11.25">
      <c r="A57" s="885" t="s">
        <v>16</v>
      </c>
      <c r="B57" s="0" t="s">
        <v>3448</v>
      </c>
      <c r="C57" s="0" t="s">
        <v>3449</v>
      </c>
      <c r="D57" s="0" t="s">
        <v>3450</v>
      </c>
      <c r="E57" s="0" t="s">
        <v>3451</v>
      </c>
      <c r="F57" s="0" t="s">
        <v>3360</v>
      </c>
      <c r="G57" s="0" t="s">
        <v>1832</v>
      </c>
    </row>
    <row customHeight="1" ht="11.25">
      <c r="A58" s="885" t="s">
        <v>16</v>
      </c>
      <c r="B58" s="0" t="s">
        <v>3448</v>
      </c>
      <c r="C58" s="0" t="s">
        <v>3449</v>
      </c>
      <c r="D58" s="0" t="s">
        <v>3452</v>
      </c>
      <c r="E58" s="0" t="s">
        <v>3453</v>
      </c>
      <c r="F58" s="0" t="s">
        <v>3360</v>
      </c>
      <c r="G58" s="0" t="s">
        <v>1835</v>
      </c>
    </row>
    <row customHeight="1" ht="11.25">
      <c r="A59" s="885" t="s">
        <v>16</v>
      </c>
      <c r="B59" s="0" t="s">
        <v>3448</v>
      </c>
      <c r="C59" s="0" t="s">
        <v>3449</v>
      </c>
      <c r="D59" s="0" t="s">
        <v>3454</v>
      </c>
      <c r="E59" s="0" t="s">
        <v>3455</v>
      </c>
      <c r="F59" s="0" t="s">
        <v>3360</v>
      </c>
      <c r="G59" s="0" t="s">
        <v>1839</v>
      </c>
    </row>
    <row customHeight="1" ht="11.25">
      <c r="A60" s="885" t="s">
        <v>16</v>
      </c>
      <c r="B60" s="0" t="s">
        <v>3448</v>
      </c>
      <c r="C60" s="0" t="s">
        <v>3449</v>
      </c>
      <c r="D60" s="0" t="s">
        <v>3456</v>
      </c>
      <c r="E60" s="0" t="s">
        <v>3457</v>
      </c>
      <c r="F60" s="0" t="s">
        <v>3366</v>
      </c>
      <c r="G60" s="0" t="s">
        <v>1842</v>
      </c>
    </row>
    <row customHeight="1" ht="11.25">
      <c r="A61" s="885" t="s">
        <v>16</v>
      </c>
      <c r="B61" s="0" t="s">
        <v>3448</v>
      </c>
      <c r="C61" s="0" t="s">
        <v>3449</v>
      </c>
      <c r="D61" s="0" t="s">
        <v>3458</v>
      </c>
      <c r="E61" s="0" t="s">
        <v>3459</v>
      </c>
      <c r="F61" s="0" t="s">
        <v>3360</v>
      </c>
      <c r="G61" s="0" t="s">
        <v>3460</v>
      </c>
    </row>
    <row customHeight="1" ht="11.25">
      <c r="A62" s="885" t="s">
        <v>16</v>
      </c>
      <c r="B62" s="0" t="s">
        <v>3448</v>
      </c>
      <c r="C62" s="0" t="s">
        <v>3449</v>
      </c>
      <c r="D62" s="0" t="s">
        <v>3461</v>
      </c>
      <c r="E62" s="0" t="s">
        <v>3462</v>
      </c>
      <c r="F62" s="0" t="s">
        <v>3360</v>
      </c>
      <c r="G62" s="0" t="s">
        <v>3463</v>
      </c>
    </row>
    <row customHeight="1" ht="11.25">
      <c r="A63" s="885" t="s">
        <v>16</v>
      </c>
      <c r="B63" s="0" t="s">
        <v>3448</v>
      </c>
      <c r="C63" s="0" t="s">
        <v>3449</v>
      </c>
      <c r="D63" s="0" t="s">
        <v>3448</v>
      </c>
      <c r="E63" s="0" t="s">
        <v>3449</v>
      </c>
      <c r="F63" s="0" t="s">
        <v>3361</v>
      </c>
      <c r="G63" s="0" t="s">
        <v>3464</v>
      </c>
    </row>
    <row customHeight="1" ht="11.25">
      <c r="A64" s="885" t="s">
        <v>16</v>
      </c>
      <c r="B64" s="0" t="s">
        <v>3448</v>
      </c>
      <c r="C64" s="0" t="s">
        <v>3449</v>
      </c>
      <c r="D64" s="0" t="s">
        <v>3465</v>
      </c>
      <c r="E64" s="0" t="s">
        <v>3466</v>
      </c>
      <c r="F64" s="0" t="s">
        <v>3360</v>
      </c>
      <c r="G64" s="0" t="s">
        <v>3467</v>
      </c>
    </row>
    <row customHeight="1" ht="11.25">
      <c r="A65" s="885" t="s">
        <v>16</v>
      </c>
      <c r="B65" s="0" t="s">
        <v>3468</v>
      </c>
      <c r="C65" s="0" t="s">
        <v>3469</v>
      </c>
      <c r="D65" s="0" t="s">
        <v>3468</v>
      </c>
      <c r="E65" s="0" t="s">
        <v>3469</v>
      </c>
      <c r="F65" s="0" t="s">
        <v>3348</v>
      </c>
      <c r="G65" s="0" t="s">
        <v>3470</v>
      </c>
    </row>
    <row customHeight="1" ht="11.25">
      <c r="A66" s="885" t="s">
        <v>16</v>
      </c>
      <c r="B66" s="0" t="s">
        <v>3471</v>
      </c>
      <c r="C66" s="0" t="s">
        <v>3472</v>
      </c>
      <c r="D66" s="0" t="s">
        <v>3471</v>
      </c>
      <c r="E66" s="0" t="s">
        <v>3472</v>
      </c>
      <c r="F66" s="0" t="s">
        <v>3348</v>
      </c>
      <c r="G66" s="0" t="s">
        <v>3473</v>
      </c>
    </row>
    <row customHeight="1" ht="11.25">
      <c r="A67" s="885" t="s">
        <v>16</v>
      </c>
      <c r="B67" s="0" t="s">
        <v>3474</v>
      </c>
      <c r="C67" s="0" t="s">
        <v>3475</v>
      </c>
      <c r="D67" s="0" t="s">
        <v>3476</v>
      </c>
      <c r="E67" s="0" t="s">
        <v>3477</v>
      </c>
      <c r="F67" s="0" t="s">
        <v>3360</v>
      </c>
      <c r="G67" s="0" t="s">
        <v>2161</v>
      </c>
    </row>
    <row customHeight="1" ht="11.25">
      <c r="A68" s="885" t="s">
        <v>16</v>
      </c>
      <c r="B68" s="0" t="s">
        <v>3474</v>
      </c>
      <c r="C68" s="0" t="s">
        <v>3475</v>
      </c>
      <c r="D68" s="0" t="s">
        <v>3478</v>
      </c>
      <c r="E68" s="0" t="s">
        <v>3479</v>
      </c>
      <c r="F68" s="0" t="s">
        <v>3360</v>
      </c>
      <c r="G68" s="0" t="s">
        <v>3480</v>
      </c>
    </row>
    <row customHeight="1" ht="11.25">
      <c r="A69" s="885" t="s">
        <v>16</v>
      </c>
      <c r="B69" s="0" t="s">
        <v>3474</v>
      </c>
      <c r="C69" s="0" t="s">
        <v>3475</v>
      </c>
      <c r="D69" s="0" t="s">
        <v>3481</v>
      </c>
      <c r="E69" s="0" t="s">
        <v>3482</v>
      </c>
      <c r="F69" s="0" t="s">
        <v>3360</v>
      </c>
      <c r="G69" s="0" t="s">
        <v>2364</v>
      </c>
    </row>
    <row customHeight="1" ht="11.25">
      <c r="A70" s="885" t="s">
        <v>16</v>
      </c>
      <c r="B70" s="0" t="s">
        <v>3474</v>
      </c>
      <c r="C70" s="0" t="s">
        <v>3475</v>
      </c>
      <c r="D70" s="0" t="s">
        <v>3483</v>
      </c>
      <c r="E70" s="0" t="s">
        <v>3484</v>
      </c>
      <c r="F70" s="0" t="s">
        <v>3360</v>
      </c>
      <c r="G70" s="0" t="s">
        <v>3485</v>
      </c>
    </row>
    <row customHeight="1" ht="11.25">
      <c r="A71" s="885" t="s">
        <v>16</v>
      </c>
      <c r="B71" s="0" t="s">
        <v>3474</v>
      </c>
      <c r="C71" s="0" t="s">
        <v>3475</v>
      </c>
      <c r="D71" s="0" t="s">
        <v>3486</v>
      </c>
      <c r="E71" s="0" t="s">
        <v>3487</v>
      </c>
      <c r="F71" s="0" t="s">
        <v>3360</v>
      </c>
      <c r="G71" s="0" t="s">
        <v>3488</v>
      </c>
    </row>
    <row customHeight="1" ht="11.25">
      <c r="A72" s="885" t="s">
        <v>16</v>
      </c>
      <c r="B72" s="0" t="s">
        <v>3474</v>
      </c>
      <c r="C72" s="0" t="s">
        <v>3475</v>
      </c>
      <c r="D72" s="0" t="s">
        <v>3474</v>
      </c>
      <c r="E72" s="0" t="s">
        <v>3475</v>
      </c>
      <c r="F72" s="0" t="s">
        <v>3361</v>
      </c>
      <c r="G72" s="0" t="s">
        <v>3489</v>
      </c>
    </row>
    <row customHeight="1" ht="11.25">
      <c r="A73" s="885" t="s">
        <v>16</v>
      </c>
      <c r="B73" s="0" t="s">
        <v>3474</v>
      </c>
      <c r="C73" s="0" t="s">
        <v>3475</v>
      </c>
      <c r="D73" s="0" t="s">
        <v>3490</v>
      </c>
      <c r="E73" s="0" t="s">
        <v>3491</v>
      </c>
      <c r="F73" s="0" t="s">
        <v>3360</v>
      </c>
      <c r="G73" s="0" t="s">
        <v>3492</v>
      </c>
    </row>
    <row customHeight="1" ht="11.25">
      <c r="A74" s="885" t="s">
        <v>16</v>
      </c>
      <c r="B74" s="0" t="s">
        <v>3474</v>
      </c>
      <c r="C74" s="0" t="s">
        <v>3475</v>
      </c>
      <c r="D74" s="0" t="s">
        <v>3493</v>
      </c>
      <c r="E74" s="0" t="s">
        <v>3494</v>
      </c>
      <c r="F74" s="0" t="s">
        <v>3360</v>
      </c>
      <c r="G74" s="0" t="s">
        <v>3495</v>
      </c>
    </row>
    <row customHeight="1" ht="11.25">
      <c r="A75" s="885" t="s">
        <v>16</v>
      </c>
      <c r="B75" s="0" t="s">
        <v>3474</v>
      </c>
      <c r="C75" s="0" t="s">
        <v>3475</v>
      </c>
      <c r="D75" s="0" t="s">
        <v>3496</v>
      </c>
      <c r="E75" s="0" t="s">
        <v>3497</v>
      </c>
      <c r="F75" s="0" t="s">
        <v>3360</v>
      </c>
      <c r="G75" s="0" t="s">
        <v>3498</v>
      </c>
    </row>
    <row customHeight="1" ht="11.25">
      <c r="A76" s="885" t="s">
        <v>16</v>
      </c>
      <c r="B76" s="0" t="s">
        <v>3499</v>
      </c>
      <c r="C76" s="0" t="s">
        <v>3500</v>
      </c>
      <c r="D76" s="0" t="s">
        <v>3499</v>
      </c>
      <c r="E76" s="0" t="s">
        <v>3500</v>
      </c>
      <c r="F76" s="0" t="s">
        <v>3348</v>
      </c>
      <c r="G76" s="0" t="s">
        <v>3501</v>
      </c>
    </row>
    <row customHeight="1" ht="11.25">
      <c r="A77" s="885" t="s">
        <v>16</v>
      </c>
      <c r="B77" s="0" t="s">
        <v>3502</v>
      </c>
      <c r="C77" s="0" t="s">
        <v>3503</v>
      </c>
      <c r="D77" s="0" t="s">
        <v>3502</v>
      </c>
      <c r="E77" s="0" t="s">
        <v>3503</v>
      </c>
      <c r="F77" s="0" t="s">
        <v>3351</v>
      </c>
      <c r="G77" s="0" t="s">
        <v>3504</v>
      </c>
    </row>
    <row customHeight="1" ht="11.25">
      <c r="A78" s="885" t="s">
        <v>16</v>
      </c>
      <c r="B78" s="0" t="s">
        <v>3505</v>
      </c>
      <c r="C78" s="0" t="s">
        <v>3506</v>
      </c>
      <c r="D78" s="0" t="s">
        <v>3505</v>
      </c>
      <c r="E78" s="0" t="s">
        <v>3506</v>
      </c>
      <c r="F78" s="0" t="s">
        <v>3348</v>
      </c>
      <c r="G78" s="0" t="s">
        <v>3507</v>
      </c>
    </row>
    <row customHeight="1" ht="11.25">
      <c r="A79" s="885" t="s">
        <v>16</v>
      </c>
      <c r="B79" s="0" t="s">
        <v>124</v>
      </c>
      <c r="C79" s="0" t="s">
        <v>125</v>
      </c>
      <c r="D79" s="0" t="s">
        <v>124</v>
      </c>
      <c r="E79" s="0" t="s">
        <v>125</v>
      </c>
      <c r="F79" s="0" t="s">
        <v>3348</v>
      </c>
      <c r="G79" s="0" t="s">
        <v>123</v>
      </c>
    </row>
    <row customHeight="1" ht="11.25">
      <c r="A80" s="885" t="s">
        <v>16</v>
      </c>
      <c r="B80" s="0" t="s">
        <v>3508</v>
      </c>
      <c r="C80" s="0" t="s">
        <v>3509</v>
      </c>
      <c r="D80" s="0" t="s">
        <v>3508</v>
      </c>
      <c r="E80" s="0" t="s">
        <v>3509</v>
      </c>
      <c r="F80" s="0" t="s">
        <v>3348</v>
      </c>
      <c r="G80" s="0" t="s">
        <v>3510</v>
      </c>
    </row>
    <row customHeight="1" ht="11.25">
      <c r="A81" s="885" t="s">
        <v>16</v>
      </c>
      <c r="B81" s="0" t="s">
        <v>3511</v>
      </c>
      <c r="C81" s="0" t="s">
        <v>3512</v>
      </c>
      <c r="D81" s="0" t="s">
        <v>3511</v>
      </c>
      <c r="E81" s="0" t="s">
        <v>3512</v>
      </c>
      <c r="F81" s="0" t="s">
        <v>3348</v>
      </c>
      <c r="G81" s="0" t="s">
        <v>3513</v>
      </c>
    </row>
    <row customHeight="1" ht="11.25">
      <c r="A82" s="885" t="s">
        <v>16</v>
      </c>
      <c r="B82" s="0" t="s">
        <v>128</v>
      </c>
      <c r="C82" s="0" t="s">
        <v>3514</v>
      </c>
      <c r="D82" s="0" t="s">
        <v>129</v>
      </c>
      <c r="E82" s="0" t="s">
        <v>130</v>
      </c>
      <c r="F82" s="0" t="s">
        <v>3360</v>
      </c>
      <c r="G82" s="0" t="s">
        <v>127</v>
      </c>
    </row>
    <row customHeight="1" ht="11.25">
      <c r="A83" s="885" t="s">
        <v>16</v>
      </c>
      <c r="B83" s="0" t="s">
        <v>128</v>
      </c>
      <c r="C83" s="0" t="s">
        <v>3514</v>
      </c>
      <c r="D83" s="0" t="s">
        <v>3515</v>
      </c>
      <c r="E83" s="0" t="s">
        <v>3516</v>
      </c>
      <c r="F83" s="0" t="s">
        <v>3366</v>
      </c>
      <c r="G83" s="0" t="s">
        <v>3517</v>
      </c>
    </row>
    <row customHeight="1" ht="11.25">
      <c r="A84" s="885" t="s">
        <v>16</v>
      </c>
      <c r="B84" s="0" t="s">
        <v>128</v>
      </c>
      <c r="C84" s="0" t="s">
        <v>3514</v>
      </c>
      <c r="D84" s="0" t="s">
        <v>133</v>
      </c>
      <c r="E84" s="0" t="s">
        <v>134</v>
      </c>
      <c r="F84" s="0" t="s">
        <v>3360</v>
      </c>
      <c r="G84" s="0" t="s">
        <v>132</v>
      </c>
    </row>
    <row customHeight="1" ht="11.25">
      <c r="A85" s="885" t="s">
        <v>16</v>
      </c>
      <c r="B85" s="0" t="s">
        <v>128</v>
      </c>
      <c r="C85" s="0" t="s">
        <v>3514</v>
      </c>
      <c r="D85" s="0" t="s">
        <v>3518</v>
      </c>
      <c r="E85" s="0" t="s">
        <v>3519</v>
      </c>
      <c r="F85" s="0" t="s">
        <v>3381</v>
      </c>
      <c r="G85" s="0" t="s">
        <v>3520</v>
      </c>
    </row>
    <row customHeight="1" ht="11.25">
      <c r="A86" s="885" t="s">
        <v>16</v>
      </c>
      <c r="B86" s="0" t="s">
        <v>128</v>
      </c>
      <c r="C86" s="0" t="s">
        <v>3514</v>
      </c>
      <c r="D86" s="0" t="s">
        <v>138</v>
      </c>
      <c r="E86" s="0" t="s">
        <v>139</v>
      </c>
      <c r="F86" s="0" t="s">
        <v>3360</v>
      </c>
      <c r="G86" s="0" t="s">
        <v>137</v>
      </c>
    </row>
    <row customHeight="1" ht="11.25">
      <c r="A87" s="885" t="s">
        <v>16</v>
      </c>
      <c r="B87" s="0" t="s">
        <v>128</v>
      </c>
      <c r="C87" s="0" t="s">
        <v>3514</v>
      </c>
      <c r="D87" s="0" t="s">
        <v>128</v>
      </c>
      <c r="E87" s="0" t="s">
        <v>3514</v>
      </c>
      <c r="F87" s="0" t="s">
        <v>3361</v>
      </c>
      <c r="G87" s="0" t="s">
        <v>3521</v>
      </c>
    </row>
    <row customHeight="1" ht="11.25">
      <c r="A88" s="885" t="s">
        <v>16</v>
      </c>
      <c r="B88" s="0" t="s">
        <v>128</v>
      </c>
      <c r="C88" s="0" t="s">
        <v>3514</v>
      </c>
      <c r="D88" s="0" t="s">
        <v>143</v>
      </c>
      <c r="E88" s="0" t="s">
        <v>144</v>
      </c>
      <c r="F88" s="0" t="s">
        <v>3360</v>
      </c>
      <c r="G88" s="0" t="s">
        <v>142</v>
      </c>
    </row>
    <row customHeight="1" ht="11.25">
      <c r="A89" s="885" t="s">
        <v>16</v>
      </c>
      <c r="B89" s="0" t="s">
        <v>3522</v>
      </c>
      <c r="C89" s="0" t="s">
        <v>3523</v>
      </c>
      <c r="D89" s="0" t="s">
        <v>3522</v>
      </c>
      <c r="E89" s="0" t="s">
        <v>3523</v>
      </c>
      <c r="F89" s="0" t="s">
        <v>3348</v>
      </c>
      <c r="G89" s="0" t="s">
        <v>3524</v>
      </c>
    </row>
    <row customHeight="1" ht="11.25">
      <c r="A90" s="885" t="s">
        <v>16</v>
      </c>
      <c r="B90" s="0" t="s">
        <v>154</v>
      </c>
      <c r="C90" s="0" t="s">
        <v>155</v>
      </c>
      <c r="D90" s="0" t="s">
        <v>154</v>
      </c>
      <c r="E90" s="0" t="s">
        <v>155</v>
      </c>
      <c r="F90" s="0" t="s">
        <v>3348</v>
      </c>
      <c r="G90" s="0" t="s">
        <v>153</v>
      </c>
    </row>
    <row customHeight="1" ht="11.25">
      <c r="A91" s="885" t="s">
        <v>16</v>
      </c>
      <c r="B91" s="0" t="s">
        <v>148</v>
      </c>
      <c r="C91" s="0" t="s">
        <v>3525</v>
      </c>
      <c r="D91" s="0" t="s">
        <v>3526</v>
      </c>
      <c r="E91" s="0" t="s">
        <v>3527</v>
      </c>
      <c r="F91" s="0" t="s">
        <v>3360</v>
      </c>
      <c r="G91" s="0" t="s">
        <v>3528</v>
      </c>
    </row>
    <row customHeight="1" ht="11.25">
      <c r="A92" s="885" t="s">
        <v>16</v>
      </c>
      <c r="B92" s="0" t="s">
        <v>148</v>
      </c>
      <c r="C92" s="0" t="s">
        <v>3525</v>
      </c>
      <c r="D92" s="0" t="s">
        <v>3529</v>
      </c>
      <c r="E92" s="0" t="s">
        <v>3530</v>
      </c>
      <c r="F92" s="0" t="s">
        <v>3360</v>
      </c>
      <c r="G92" s="0" t="s">
        <v>3531</v>
      </c>
    </row>
    <row customHeight="1" ht="11.25">
      <c r="A93" s="885" t="s">
        <v>16</v>
      </c>
      <c r="B93" s="0" t="s">
        <v>148</v>
      </c>
      <c r="C93" s="0" t="s">
        <v>3525</v>
      </c>
      <c r="D93" s="0" t="s">
        <v>149</v>
      </c>
      <c r="E93" s="0" t="s">
        <v>150</v>
      </c>
      <c r="F93" s="0" t="s">
        <v>3360</v>
      </c>
      <c r="G93" s="0" t="s">
        <v>147</v>
      </c>
    </row>
    <row customHeight="1" ht="11.25">
      <c r="A94" s="885" t="s">
        <v>16</v>
      </c>
      <c r="B94" s="0" t="s">
        <v>148</v>
      </c>
      <c r="C94" s="0" t="s">
        <v>3525</v>
      </c>
      <c r="D94" s="0" t="s">
        <v>3532</v>
      </c>
      <c r="E94" s="0" t="s">
        <v>3533</v>
      </c>
      <c r="F94" s="0" t="s">
        <v>3381</v>
      </c>
      <c r="G94" s="0" t="s">
        <v>3534</v>
      </c>
    </row>
    <row customHeight="1" ht="11.25">
      <c r="A95" s="885" t="s">
        <v>16</v>
      </c>
      <c r="B95" s="0" t="s">
        <v>148</v>
      </c>
      <c r="C95" s="0" t="s">
        <v>3525</v>
      </c>
      <c r="D95" s="0" t="s">
        <v>3535</v>
      </c>
      <c r="E95" s="0" t="s">
        <v>3536</v>
      </c>
      <c r="F95" s="0" t="s">
        <v>3360</v>
      </c>
      <c r="G95" s="0" t="s">
        <v>3537</v>
      </c>
    </row>
    <row customHeight="1" ht="11.25">
      <c r="A96" s="885" t="s">
        <v>16</v>
      </c>
      <c r="B96" s="0" t="s">
        <v>148</v>
      </c>
      <c r="C96" s="0" t="s">
        <v>3525</v>
      </c>
      <c r="D96" s="0" t="s">
        <v>148</v>
      </c>
      <c r="E96" s="0" t="s">
        <v>3525</v>
      </c>
      <c r="F96" s="0" t="s">
        <v>3361</v>
      </c>
      <c r="G96" s="0" t="s">
        <v>3538</v>
      </c>
    </row>
    <row customHeight="1" ht="11.25">
      <c r="A97" s="885" t="s">
        <v>16</v>
      </c>
      <c r="B97" s="0" t="s">
        <v>148</v>
      </c>
      <c r="C97" s="0" t="s">
        <v>3525</v>
      </c>
      <c r="D97" s="0" t="s">
        <v>3539</v>
      </c>
      <c r="E97" s="0" t="s">
        <v>3540</v>
      </c>
      <c r="F97" s="0" t="s">
        <v>3381</v>
      </c>
      <c r="G97" s="0" t="s">
        <v>3541</v>
      </c>
    </row>
    <row customHeight="1" ht="11.25">
      <c r="A98" s="885" t="s">
        <v>16</v>
      </c>
      <c r="B98" s="0" t="s">
        <v>148</v>
      </c>
      <c r="C98" s="0" t="s">
        <v>3525</v>
      </c>
      <c r="D98" s="0" t="s">
        <v>3542</v>
      </c>
      <c r="E98" s="0" t="s">
        <v>3543</v>
      </c>
      <c r="F98" s="0" t="s">
        <v>3360</v>
      </c>
      <c r="G98" s="0" t="s">
        <v>3544</v>
      </c>
    </row>
    <row customHeight="1" ht="11.25">
      <c r="A99" s="885" t="s">
        <v>16</v>
      </c>
      <c r="B99" s="0" t="s">
        <v>3545</v>
      </c>
      <c r="C99" s="0" t="s">
        <v>3546</v>
      </c>
      <c r="D99" s="0" t="s">
        <v>3545</v>
      </c>
      <c r="E99" s="0" t="s">
        <v>3546</v>
      </c>
      <c r="F99" s="0" t="s">
        <v>3348</v>
      </c>
      <c r="G99" s="0" t="s">
        <v>3547</v>
      </c>
    </row>
    <row customHeight="1" ht="11.25">
      <c r="A100" s="885" t="s">
        <v>16</v>
      </c>
      <c r="B100" s="0" t="s">
        <v>3548</v>
      </c>
      <c r="C100" s="0" t="s">
        <v>3549</v>
      </c>
      <c r="D100" s="0" t="s">
        <v>3550</v>
      </c>
      <c r="E100" s="0" t="s">
        <v>3551</v>
      </c>
      <c r="F100" s="0" t="s">
        <v>3360</v>
      </c>
      <c r="G100" s="0" t="s">
        <v>3552</v>
      </c>
    </row>
    <row customHeight="1" ht="11.25">
      <c r="A101" s="885" t="s">
        <v>16</v>
      </c>
      <c r="B101" s="0" t="s">
        <v>3548</v>
      </c>
      <c r="C101" s="0" t="s">
        <v>3549</v>
      </c>
      <c r="D101" s="0" t="s">
        <v>3553</v>
      </c>
      <c r="E101" s="0" t="s">
        <v>3554</v>
      </c>
      <c r="F101" s="0" t="s">
        <v>3360</v>
      </c>
      <c r="G101" s="0" t="s">
        <v>3555</v>
      </c>
    </row>
    <row customHeight="1" ht="11.25">
      <c r="A102" s="885" t="s">
        <v>16</v>
      </c>
      <c r="B102" s="0" t="s">
        <v>3548</v>
      </c>
      <c r="C102" s="0" t="s">
        <v>3549</v>
      </c>
      <c r="D102" s="0" t="s">
        <v>3556</v>
      </c>
      <c r="E102" s="0" t="s">
        <v>3557</v>
      </c>
      <c r="F102" s="0" t="s">
        <v>3360</v>
      </c>
      <c r="G102" s="0" t="s">
        <v>3558</v>
      </c>
    </row>
    <row customHeight="1" ht="11.25">
      <c r="A103" s="885" t="s">
        <v>16</v>
      </c>
      <c r="B103" s="0" t="s">
        <v>3548</v>
      </c>
      <c r="C103" s="0" t="s">
        <v>3549</v>
      </c>
      <c r="D103" s="0" t="s">
        <v>3559</v>
      </c>
      <c r="E103" s="0" t="s">
        <v>3560</v>
      </c>
      <c r="F103" s="0" t="s">
        <v>3360</v>
      </c>
      <c r="G103" s="0" t="s">
        <v>3561</v>
      </c>
    </row>
    <row customHeight="1" ht="11.25">
      <c r="A104" s="885" t="s">
        <v>16</v>
      </c>
      <c r="B104" s="0" t="s">
        <v>3548</v>
      </c>
      <c r="C104" s="0" t="s">
        <v>3549</v>
      </c>
      <c r="D104" s="0" t="s">
        <v>3548</v>
      </c>
      <c r="E104" s="0" t="s">
        <v>3549</v>
      </c>
      <c r="F104" s="0" t="s">
        <v>3361</v>
      </c>
      <c r="G104" s="0" t="s">
        <v>3562</v>
      </c>
    </row>
    <row customHeight="1" ht="11.25">
      <c r="A105" s="885" t="s">
        <v>16</v>
      </c>
      <c r="B105" s="0" t="s">
        <v>3548</v>
      </c>
      <c r="C105" s="0" t="s">
        <v>3549</v>
      </c>
      <c r="D105" s="0" t="s">
        <v>3563</v>
      </c>
      <c r="E105" s="0" t="s">
        <v>3564</v>
      </c>
      <c r="F105" s="0" t="s">
        <v>3360</v>
      </c>
      <c r="G105" s="0" t="s">
        <v>3565</v>
      </c>
    </row>
    <row customHeight="1" ht="11.25">
      <c r="A106" s="885" t="s">
        <v>16</v>
      </c>
      <c r="B106" s="0" t="s">
        <v>3566</v>
      </c>
      <c r="C106" s="0" t="s">
        <v>3567</v>
      </c>
      <c r="D106" s="0" t="s">
        <v>3566</v>
      </c>
      <c r="E106" s="0" t="s">
        <v>3567</v>
      </c>
      <c r="F106" s="0" t="s">
        <v>3351</v>
      </c>
      <c r="G106" s="0" t="s">
        <v>3568</v>
      </c>
    </row>
    <row customHeight="1" ht="11.25">
      <c r="A107" s="885" t="s">
        <v>16</v>
      </c>
      <c r="B107" s="0" t="s">
        <v>171</v>
      </c>
      <c r="C107" s="0" t="s">
        <v>172</v>
      </c>
      <c r="D107" s="0" t="s">
        <v>171</v>
      </c>
      <c r="E107" s="0" t="s">
        <v>172</v>
      </c>
      <c r="F107" s="0" t="s">
        <v>3351</v>
      </c>
      <c r="G107" s="0" t="s">
        <v>170</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7B8B44-E5FB-16E6-121F-.C7AF1AC50C8}" mc:Ignorable="x14ac xr xr2 xr3">
  <sheetPr>
    <tabColor rgb="FFFFCC99"/>
  </sheetPr>
  <dimension ref="A1:I25"/>
  <sheetViews>
    <sheetView topLeftCell="A1" showGridLines="0" workbookViewId="0">
      <selection activeCell="A1" sqref="A1"/>
    </sheetView>
  </sheetViews>
  <sheetFormatPr defaultColWidth="9.140625" customHeight="1" defaultRowHeight="11.25"/>
  <cols>
    <col min="1" max="1" style="61571" width="13.8515625" customWidth="1"/>
    <col min="2" max="2" style="61571" width="10.421875" customWidth="1"/>
    <col min="3" max="3" style="61571" width="7.57421875" customWidth="1"/>
    <col min="4" max="4" style="61571" width="13.8515625" customWidth="1"/>
    <col min="5" max="5" style="61571" width="11.57421875" customWidth="1"/>
    <col min="6" max="6" style="61571" width="16.28125" customWidth="1"/>
    <col min="7" max="7" style="61571" width="16.00390625" customWidth="1"/>
    <col min="8" max="9" style="61571" width="16.140625" customWidth="1"/>
  </cols>
  <sheetData>
    <row customHeight="1" ht="11.25">
      <c r="A1" s="1347" t="s">
        <v>3569</v>
      </c>
      <c r="B1" s="1347" t="s">
        <v>3570</v>
      </c>
      <c r="C1" s="1671" t="s">
        <v>3571</v>
      </c>
      <c r="D1" s="1347" t="s">
        <v>3572</v>
      </c>
      <c r="E1" s="1347" t="s">
        <v>3573</v>
      </c>
      <c r="F1" s="1671" t="s">
        <v>3574</v>
      </c>
      <c r="G1" s="1671" t="s">
        <v>3575</v>
      </c>
      <c r="H1" s="1671" t="s">
        <v>3576</v>
      </c>
      <c r="I1" s="1671" t="s">
        <v>3577</v>
      </c>
    </row>
    <row customHeight="1" ht="11.25">
      <c r="A2" s="6473" t="s">
        <v>101</v>
      </c>
      <c r="B2" s="6473" t="s">
        <v>3578</v>
      </c>
      <c r="C2" s="6473" t="s">
        <v>28</v>
      </c>
      <c r="D2" s="6473" t="s">
        <v>3579</v>
      </c>
      <c r="E2" s="6473" t="s">
        <v>3580</v>
      </c>
      <c r="F2" s="6473" t="s">
        <v>28</v>
      </c>
      <c r="G2" s="6473" t="s">
        <v>28</v>
      </c>
      <c r="H2" s="6473" t="s">
        <v>28</v>
      </c>
      <c r="I2" s="6473" t="s">
        <v>28</v>
      </c>
    </row>
    <row customHeight="1" ht="11.25">
      <c r="A3" s="6473" t="s">
        <v>105</v>
      </c>
      <c r="B3" s="6473" t="s">
        <v>3581</v>
      </c>
      <c r="C3" s="6473" t="s">
        <v>28</v>
      </c>
      <c r="D3" s="6473" t="s">
        <v>3579</v>
      </c>
      <c r="E3" s="6473" t="s">
        <v>3582</v>
      </c>
      <c r="F3" s="6473" t="s">
        <v>28</v>
      </c>
      <c r="G3" s="6473" t="s">
        <v>28</v>
      </c>
      <c r="H3" s="6473" t="s">
        <v>28</v>
      </c>
      <c r="I3" s="6473" t="s">
        <v>28</v>
      </c>
    </row>
    <row customHeight="1" ht="11.25">
      <c r="A4" s="6473" t="s">
        <v>92</v>
      </c>
      <c r="B4" s="6473" t="s">
        <v>3583</v>
      </c>
      <c r="C4" s="6473" t="s">
        <v>28</v>
      </c>
      <c r="D4" s="6473" t="s">
        <v>3579</v>
      </c>
      <c r="E4" s="6473" t="s">
        <v>3584</v>
      </c>
      <c r="F4" s="6473" t="s">
        <v>28</v>
      </c>
      <c r="G4" s="6473" t="s">
        <v>28</v>
      </c>
      <c r="H4" s="6473" t="s">
        <v>28</v>
      </c>
      <c r="I4" s="6473" t="s">
        <v>28</v>
      </c>
    </row>
    <row customHeight="1" ht="11.25">
      <c r="A5" s="6473" t="s">
        <v>93</v>
      </c>
      <c r="B5" s="6473" t="s">
        <v>3585</v>
      </c>
      <c r="C5" s="6473" t="s">
        <v>28</v>
      </c>
      <c r="D5" s="6473" t="s">
        <v>3586</v>
      </c>
      <c r="E5" s="6473" t="s">
        <v>3580</v>
      </c>
      <c r="F5" s="6473" t="s">
        <v>28</v>
      </c>
      <c r="G5" s="6473" t="s">
        <v>28</v>
      </c>
      <c r="H5" s="6473" t="s">
        <v>28</v>
      </c>
      <c r="I5" s="6473" t="s">
        <v>28</v>
      </c>
    </row>
    <row customHeight="1" ht="11.25">
      <c r="A6" s="6473" t="s">
        <v>121</v>
      </c>
      <c r="B6" s="6473" t="s">
        <v>3587</v>
      </c>
      <c r="C6" s="6473" t="s">
        <v>28</v>
      </c>
      <c r="D6" s="6473" t="s">
        <v>3588</v>
      </c>
      <c r="E6" s="6473" t="s">
        <v>3589</v>
      </c>
      <c r="F6" s="6473" t="s">
        <v>28</v>
      </c>
      <c r="G6" s="6473" t="s">
        <v>28</v>
      </c>
      <c r="H6" s="6473" t="s">
        <v>28</v>
      </c>
      <c r="I6" s="6473" t="s">
        <v>28</v>
      </c>
    </row>
    <row customHeight="1" ht="11.25">
      <c r="A7" s="6473" t="s">
        <v>94</v>
      </c>
      <c r="B7" s="6473" t="s">
        <v>3590</v>
      </c>
      <c r="C7" s="6473" t="s">
        <v>28</v>
      </c>
      <c r="D7" s="6473" t="s">
        <v>3591</v>
      </c>
      <c r="E7" s="6473" t="s">
        <v>3592</v>
      </c>
      <c r="F7" s="6473" t="s">
        <v>28</v>
      </c>
      <c r="G7" s="6473" t="s">
        <v>28</v>
      </c>
      <c r="H7" s="6473" t="s">
        <v>28</v>
      </c>
      <c r="I7" s="6473" t="s">
        <v>28</v>
      </c>
    </row>
    <row customHeight="1" ht="11.25">
      <c r="A8" s="6473" t="s">
        <v>95</v>
      </c>
      <c r="B8" s="6473" t="s">
        <v>3593</v>
      </c>
      <c r="C8" s="6473" t="s">
        <v>28</v>
      </c>
      <c r="D8" s="6473" t="s">
        <v>3594</v>
      </c>
      <c r="E8" s="6473" t="s">
        <v>3589</v>
      </c>
      <c r="F8" s="6473" t="s">
        <v>28</v>
      </c>
      <c r="G8" s="6473" t="s">
        <v>28</v>
      </c>
      <c r="H8" s="6473" t="s">
        <v>28</v>
      </c>
      <c r="I8" s="6473" t="s">
        <v>28</v>
      </c>
    </row>
    <row customHeight="1" ht="11.25">
      <c r="A9" s="6473" t="s">
        <v>135</v>
      </c>
      <c r="B9" s="6473" t="s">
        <v>3595</v>
      </c>
      <c r="C9" s="6473" t="s">
        <v>28</v>
      </c>
      <c r="D9" s="6473" t="s">
        <v>3596</v>
      </c>
      <c r="E9" s="6473" t="s">
        <v>3597</v>
      </c>
      <c r="F9" s="6473" t="s">
        <v>28</v>
      </c>
      <c r="G9" s="6473" t="s">
        <v>28</v>
      </c>
      <c r="H9" s="6473" t="s">
        <v>28</v>
      </c>
      <c r="I9" s="6473" t="s">
        <v>28</v>
      </c>
    </row>
    <row customHeight="1" ht="11.25">
      <c r="A10" s="6473" t="s">
        <v>140</v>
      </c>
      <c r="B10" s="6473" t="s">
        <v>3598</v>
      </c>
      <c r="C10" s="6473" t="s">
        <v>28</v>
      </c>
      <c r="D10" s="6473" t="s">
        <v>3599</v>
      </c>
      <c r="E10" s="6473" t="s">
        <v>3597</v>
      </c>
      <c r="F10" s="6473" t="s">
        <v>28</v>
      </c>
      <c r="G10" s="6473" t="s">
        <v>28</v>
      </c>
      <c r="H10" s="6473" t="s">
        <v>28</v>
      </c>
      <c r="I10" s="6473" t="s">
        <v>28</v>
      </c>
    </row>
    <row customHeight="1" ht="11.25">
      <c r="A11" s="6473" t="s">
        <v>145</v>
      </c>
      <c r="B11" s="6473" t="s">
        <v>3600</v>
      </c>
      <c r="C11" s="6473" t="s">
        <v>28</v>
      </c>
      <c r="D11" s="6473" t="s">
        <v>3596</v>
      </c>
      <c r="E11" s="6473" t="s">
        <v>3584</v>
      </c>
      <c r="F11" s="6473" t="s">
        <v>28</v>
      </c>
      <c r="G11" s="6473" t="s">
        <v>28</v>
      </c>
      <c r="H11" s="6473" t="s">
        <v>28</v>
      </c>
      <c r="I11" s="6473" t="s">
        <v>28</v>
      </c>
    </row>
    <row customHeight="1" ht="11.25">
      <c r="A12" s="6473" t="s">
        <v>151</v>
      </c>
      <c r="B12" s="6473" t="s">
        <v>3601</v>
      </c>
      <c r="C12" s="6473" t="s">
        <v>28</v>
      </c>
      <c r="D12" s="6473" t="s">
        <v>3596</v>
      </c>
      <c r="E12" s="6473" t="s">
        <v>3584</v>
      </c>
      <c r="F12" s="6473" t="s">
        <v>28</v>
      </c>
      <c r="G12" s="6473" t="s">
        <v>28</v>
      </c>
      <c r="H12" s="6473" t="s">
        <v>28</v>
      </c>
      <c r="I12" s="6473" t="s">
        <v>28</v>
      </c>
    </row>
    <row customHeight="1" ht="11.25">
      <c r="A13" s="6473" t="s">
        <v>156</v>
      </c>
      <c r="B13" s="6473" t="s">
        <v>3602</v>
      </c>
      <c r="C13" s="6473" t="s">
        <v>28</v>
      </c>
      <c r="D13" s="6473" t="s">
        <v>3596</v>
      </c>
      <c r="E13" s="6473" t="s">
        <v>3584</v>
      </c>
      <c r="F13" s="6473" t="s">
        <v>28</v>
      </c>
      <c r="G13" s="6473" t="s">
        <v>28</v>
      </c>
      <c r="H13" s="6473" t="s">
        <v>28</v>
      </c>
      <c r="I13" s="6473" t="s">
        <v>28</v>
      </c>
    </row>
    <row customHeight="1" ht="11.25">
      <c r="A14" s="6473" t="s">
        <v>160</v>
      </c>
      <c r="B14" s="6473" t="s">
        <v>3603</v>
      </c>
      <c r="C14" s="6473" t="s">
        <v>28</v>
      </c>
      <c r="D14" s="6473" t="s">
        <v>3596</v>
      </c>
      <c r="E14" s="6473" t="s">
        <v>3584</v>
      </c>
      <c r="F14" s="6473" t="s">
        <v>28</v>
      </c>
      <c r="G14" s="6473" t="s">
        <v>28</v>
      </c>
      <c r="H14" s="6473" t="s">
        <v>28</v>
      </c>
      <c r="I14" s="6473" t="s">
        <v>28</v>
      </c>
    </row>
    <row customHeight="1" ht="11.25">
      <c r="A15" s="6473" t="s">
        <v>164</v>
      </c>
      <c r="B15" s="6473" t="s">
        <v>3604</v>
      </c>
      <c r="C15" s="6473" t="s">
        <v>28</v>
      </c>
      <c r="D15" s="6473" t="s">
        <v>3596</v>
      </c>
      <c r="E15" s="6473" t="s">
        <v>3584</v>
      </c>
      <c r="F15" s="6473" t="s">
        <v>28</v>
      </c>
      <c r="G15" s="6473" t="s">
        <v>28</v>
      </c>
      <c r="H15" s="6473" t="s">
        <v>28</v>
      </c>
      <c r="I15" s="6473" t="s">
        <v>28</v>
      </c>
    </row>
    <row customHeight="1" ht="11.25">
      <c r="A16" s="6473" t="s">
        <v>168</v>
      </c>
      <c r="B16" s="6473" t="s">
        <v>3605</v>
      </c>
      <c r="C16" s="6473" t="s">
        <v>28</v>
      </c>
      <c r="D16" s="6473" t="s">
        <v>3596</v>
      </c>
      <c r="E16" s="6473" t="s">
        <v>3584</v>
      </c>
      <c r="F16" s="6473" t="s">
        <v>28</v>
      </c>
      <c r="G16" s="6473" t="s">
        <v>28</v>
      </c>
      <c r="H16" s="6473" t="s">
        <v>28</v>
      </c>
      <c r="I16" s="6473" t="s">
        <v>28</v>
      </c>
    </row>
    <row customHeight="1" ht="11.25">
      <c r="A17" s="6473" t="s">
        <v>118</v>
      </c>
      <c r="B17" s="6473" t="s">
        <v>3606</v>
      </c>
      <c r="C17" s="6473" t="s">
        <v>28</v>
      </c>
      <c r="D17" s="6473" t="s">
        <v>3586</v>
      </c>
      <c r="E17" s="6473" t="s">
        <v>3580</v>
      </c>
      <c r="F17" s="6473" t="s">
        <v>28</v>
      </c>
      <c r="G17" s="6473" t="s">
        <v>28</v>
      </c>
      <c r="H17" s="6473" t="s">
        <v>28</v>
      </c>
      <c r="I17" s="6473" t="s">
        <v>28</v>
      </c>
    </row>
    <row customHeight="1" ht="11.25">
      <c r="A18" s="6473" t="s">
        <v>1622</v>
      </c>
      <c r="B18" s="6473" t="s">
        <v>3607</v>
      </c>
      <c r="C18" s="6473" t="s">
        <v>28</v>
      </c>
      <c r="D18" s="6473" t="s">
        <v>3596</v>
      </c>
      <c r="E18" s="6473" t="s">
        <v>3608</v>
      </c>
      <c r="F18" s="6473" t="s">
        <v>28</v>
      </c>
      <c r="G18" s="6473" t="s">
        <v>28</v>
      </c>
      <c r="H18" s="6473" t="s">
        <v>28</v>
      </c>
      <c r="I18" s="6473" t="s">
        <v>28</v>
      </c>
    </row>
    <row customHeight="1" ht="11.25">
      <c r="A19" s="6473" t="s">
        <v>1636</v>
      </c>
      <c r="B19" s="6473" t="s">
        <v>3609</v>
      </c>
      <c r="C19" s="6473" t="s">
        <v>28</v>
      </c>
      <c r="D19" s="6473" t="s">
        <v>3610</v>
      </c>
      <c r="E19" s="6473" t="s">
        <v>3592</v>
      </c>
      <c r="F19" s="6473" t="s">
        <v>28</v>
      </c>
      <c r="G19" s="6473" t="s">
        <v>28</v>
      </c>
      <c r="H19" s="6473" t="s">
        <v>28</v>
      </c>
      <c r="I19" s="6473" t="s">
        <v>28</v>
      </c>
    </row>
    <row customHeight="1" ht="11.25">
      <c r="A20" s="6473" t="s">
        <v>1648</v>
      </c>
      <c r="B20" s="6473" t="s">
        <v>3611</v>
      </c>
      <c r="C20" s="6473" t="s">
        <v>28</v>
      </c>
      <c r="D20" s="6473" t="s">
        <v>3586</v>
      </c>
      <c r="E20" s="6473" t="s">
        <v>3584</v>
      </c>
      <c r="F20" s="6473" t="s">
        <v>28</v>
      </c>
      <c r="G20" s="6473" t="s">
        <v>28</v>
      </c>
      <c r="H20" s="6473" t="s">
        <v>28</v>
      </c>
      <c r="I20" s="6473" t="s">
        <v>28</v>
      </c>
    </row>
    <row customHeight="1" ht="11.25">
      <c r="A21" s="6473" t="s">
        <v>1657</v>
      </c>
      <c r="B21" s="6473" t="s">
        <v>3612</v>
      </c>
      <c r="C21" s="6473" t="s">
        <v>28</v>
      </c>
      <c r="D21" s="6473" t="s">
        <v>3586</v>
      </c>
      <c r="E21" s="6473" t="s">
        <v>3584</v>
      </c>
      <c r="F21" s="6473" t="s">
        <v>28</v>
      </c>
      <c r="G21" s="6473" t="s">
        <v>28</v>
      </c>
      <c r="H21" s="6473" t="s">
        <v>28</v>
      </c>
      <c r="I21" s="6473" t="s">
        <v>28</v>
      </c>
    </row>
    <row customHeight="1" ht="11.25">
      <c r="A22" s="6473" t="s">
        <v>1673</v>
      </c>
      <c r="B22" s="6473" t="s">
        <v>3613</v>
      </c>
      <c r="C22" s="6473" t="s">
        <v>28</v>
      </c>
      <c r="D22" s="6473" t="s">
        <v>3586</v>
      </c>
      <c r="E22" s="6473" t="s">
        <v>3584</v>
      </c>
      <c r="F22" s="6473" t="s">
        <v>28</v>
      </c>
      <c r="G22" s="6473" t="s">
        <v>28</v>
      </c>
      <c r="H22" s="6473" t="s">
        <v>28</v>
      </c>
      <c r="I22" s="6473" t="s">
        <v>28</v>
      </c>
    </row>
    <row customHeight="1" ht="11.25">
      <c r="A23" s="6473" t="s">
        <v>1680</v>
      </c>
      <c r="B23" s="6473" t="s">
        <v>3614</v>
      </c>
      <c r="C23" s="6473" t="s">
        <v>28</v>
      </c>
      <c r="D23" s="6473" t="s">
        <v>3586</v>
      </c>
      <c r="E23" s="6473" t="s">
        <v>3584</v>
      </c>
      <c r="F23" s="6473" t="s">
        <v>28</v>
      </c>
      <c r="G23" s="6473" t="s">
        <v>28</v>
      </c>
      <c r="H23" s="6473" t="s">
        <v>28</v>
      </c>
      <c r="I23" s="6473" t="s">
        <v>28</v>
      </c>
    </row>
    <row customHeight="1" ht="11.25">
      <c r="A24" s="6473" t="s">
        <v>1688</v>
      </c>
      <c r="B24" s="6473" t="s">
        <v>3615</v>
      </c>
      <c r="C24" s="6473" t="s">
        <v>28</v>
      </c>
      <c r="D24" s="6473" t="s">
        <v>3586</v>
      </c>
      <c r="E24" s="6473" t="s">
        <v>3584</v>
      </c>
      <c r="F24" s="6473" t="s">
        <v>28</v>
      </c>
      <c r="G24" s="6473" t="s">
        <v>28</v>
      </c>
      <c r="H24" s="6473" t="s">
        <v>28</v>
      </c>
      <c r="I24" s="6473" t="s">
        <v>28</v>
      </c>
    </row>
    <row customHeight="1" ht="11.25">
      <c r="A25" s="6473" t="s">
        <v>1695</v>
      </c>
      <c r="B25" s="6473" t="s">
        <v>3616</v>
      </c>
      <c r="C25" s="6473" t="s">
        <v>28</v>
      </c>
      <c r="D25" s="6473" t="s">
        <v>3596</v>
      </c>
      <c r="E25" s="6473" t="s">
        <v>3617</v>
      </c>
      <c r="F25" s="6473" t="s">
        <v>28</v>
      </c>
      <c r="G25" s="6473" t="s">
        <v>28</v>
      </c>
      <c r="H25" s="6473" t="s">
        <v>28</v>
      </c>
      <c r="I25" s="6473" t="s">
        <v>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0EDF9F-6229-2471-DC32-8322ED223D43}"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22B7AA-D3A6-543A-FE93-E8628EB76203}"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50765" width="9.140625" hidden="1" customWidth="1"/>
    <col min="2" max="2" style="50801" width="9.140625" hidden="1" customWidth="1"/>
    <col min="3" max="3" style="50980" width="3.00390625" customWidth="1"/>
    <col min="4" max="4" style="50801" width="5.00390625" customWidth="1"/>
    <col min="5" max="5" style="50801" width="48.00390625" customWidth="1"/>
    <col min="6" max="6" style="50801" width="38.00390625" customWidth="1"/>
    <col min="7" max="7" style="50801" width="1.7109375" hidden="1" customWidth="1"/>
    <col min="8" max="11" style="50801" width="19.8515625" hidden="1" customWidth="1"/>
    <col min="12" max="12" style="50801" width="9.7109375" hidden="1" customWidth="1"/>
    <col min="13" max="18" style="50801" width="19.8515625" hidden="1" customWidth="1"/>
    <col min="19" max="19" style="50801" width="1.7109375" hidden="1" customWidth="1"/>
    <col min="20" max="22" style="50801" width="19.8515625" hidden="1" customWidth="1"/>
    <col min="23" max="23" style="50801" width="1.7109375" hidden="1" customWidth="1"/>
    <col min="24" max="26" style="50801" width="19.8515625" customWidth="1"/>
    <col min="27" max="27" style="50801" width="1.7109375" hidden="1" customWidth="1"/>
    <col min="28" max="29" style="50801" width="19.8515625" hidden="1" customWidth="1"/>
    <col min="30" max="30" style="50801" width="1.7109375" hidden="1" customWidth="1"/>
    <col min="31" max="32" style="50801" width="103.7109375" hidden="1" customWidth="1"/>
    <col min="33" max="33" style="50801" width="103.7109375" customWidth="1"/>
    <col min="34" max="34" style="50801" width="103.7109375" hidden="1" customWidth="1"/>
    <col min="35" max="35" style="50897" width="3.00390625" customWidth="1"/>
    <col min="36" max="38" style="50882" width="10.00390625" customWidth="1"/>
    <col min="39" max="39" style="50882" width="13.7109375" hidden="1" customWidth="1"/>
    <col min="40" max="40" style="50882" width="15.00390625" customWidth="1"/>
    <col min="41" max="41" style="50882" width="16.00390625" customWidth="1"/>
    <col min="42" max="45" style="50882" width="10.00390625" customWidth="1"/>
    <col min="46" max="46" style="50801" width="10.57421875" hidden="1"/>
  </cols>
  <sheetData>
    <row customHeight="1" ht="22.5" hidden="1">
      <c r="E1" s="924"/>
      <c r="F1" s="924"/>
      <c r="G1" s="924"/>
      <c r="H1" s="2729" t="s">
        <v>491</v>
      </c>
      <c r="I1" s="2729"/>
      <c r="J1" s="2729"/>
      <c r="K1" s="2729"/>
      <c r="L1" s="2729"/>
      <c r="M1" s="2729"/>
      <c r="N1" s="2729"/>
      <c r="O1" s="2729"/>
      <c r="P1" s="2729"/>
      <c r="Q1" s="2729"/>
      <c r="R1" s="2729"/>
      <c r="T1" s="2729" t="s">
        <v>492</v>
      </c>
      <c r="U1" s="2729"/>
      <c r="V1" s="2729"/>
      <c r="X1" s="2729" t="s">
        <v>493</v>
      </c>
      <c r="Y1" s="2729"/>
      <c r="Z1" s="2729"/>
      <c r="AB1" s="2729" t="s">
        <v>494</v>
      </c>
      <c r="AC1" s="2729"/>
      <c r="AT1" s="959" t="s">
        <v>14</v>
      </c>
    </row>
    <row customHeight="1" ht="14.25" hidden="1">
      <c r="AT2" s="959">
        <v>0</v>
      </c>
    </row>
    <row s="51523" customFormat="1" customHeight="1" ht="5.25">
      <c r="C3" s="1213"/>
      <c r="D3" s="1214"/>
      <c r="E3" s="1214"/>
      <c r="F3" s="1214"/>
      <c r="G3" s="1214"/>
      <c r="H3" s="1214" t="s">
        <v>495</v>
      </c>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J3" s="1023"/>
      <c r="AK3" s="1023"/>
      <c r="AL3" s="1023"/>
      <c r="AM3" s="1023"/>
      <c r="AN3" s="1023"/>
      <c r="AO3" s="1023"/>
      <c r="AP3" s="1023"/>
      <c r="AQ3" s="1023"/>
      <c r="AR3" s="1023"/>
      <c r="AS3" s="1023"/>
      <c r="AT3" s="1212">
        <v>5</v>
      </c>
    </row>
    <row customHeight="1" ht="39.75">
      <c r="C4" s="962"/>
      <c r="D4" s="2669" t="str">
        <f>ORG_VD_NAME_FORM</f>
        <v>Форма 1. Информация об организации, осуществляющей холодное водоснабжение (общая информация)</v>
      </c>
      <c r="E4" s="2670"/>
      <c r="F4" s="2670"/>
      <c r="G4" s="2670"/>
      <c r="H4" s="2670"/>
      <c r="I4" s="2670"/>
      <c r="J4" s="2670"/>
      <c r="K4" s="2670"/>
      <c r="L4" s="2670"/>
      <c r="M4" s="2670"/>
      <c r="N4" s="2670"/>
      <c r="O4" s="2670"/>
      <c r="P4" s="2670"/>
      <c r="Q4" s="2670"/>
      <c r="R4" s="2671"/>
      <c r="S4" s="1365"/>
      <c r="T4" s="1211"/>
      <c r="U4" s="1211"/>
      <c r="V4" s="1211"/>
      <c r="W4" s="1211"/>
      <c r="X4" s="1211"/>
      <c r="Y4" s="1211"/>
      <c r="Z4" s="1211"/>
      <c r="AA4" s="1211"/>
      <c r="AB4" s="1211"/>
      <c r="AC4" s="1211"/>
      <c r="AD4" s="1211"/>
      <c r="AE4" s="1003"/>
      <c r="AF4" s="1003"/>
      <c r="AG4" s="1003"/>
      <c r="AH4" s="1003"/>
      <c r="AI4" s="1000"/>
      <c r="AT4" s="959">
        <v>38</v>
      </c>
    </row>
    <row s="50801" customFormat="1" customHeight="1" ht="18">
      <c r="A5" s="1271"/>
      <c r="C5" s="1334"/>
      <c r="D5" s="2726" t="str">
        <f>IF(org=0,"Не определено",org)</f>
        <v>КГУП "Примтеплоэнерго"</v>
      </c>
      <c r="E5" s="2727"/>
      <c r="F5" s="2727"/>
      <c r="G5" s="2727"/>
      <c r="H5" s="2727"/>
      <c r="I5" s="2727"/>
      <c r="J5" s="2727"/>
      <c r="K5" s="2727"/>
      <c r="L5" s="2727"/>
      <c r="M5" s="2727"/>
      <c r="N5" s="2727"/>
      <c r="O5" s="2727"/>
      <c r="P5" s="2727"/>
      <c r="Q5" s="2727"/>
      <c r="R5" s="2728"/>
      <c r="S5" s="1365"/>
      <c r="T5" s="1211"/>
      <c r="U5" s="1211"/>
      <c r="V5" s="1211"/>
      <c r="W5" s="1211"/>
      <c r="X5" s="1211"/>
      <c r="Y5" s="1211"/>
      <c r="Z5" s="1211"/>
      <c r="AA5" s="1211"/>
      <c r="AB5" s="1211"/>
      <c r="AC5" s="1211"/>
      <c r="AD5" s="1211"/>
      <c r="AE5" s="1003"/>
      <c r="AF5" s="1003"/>
      <c r="AG5" s="1003"/>
      <c r="AH5" s="1003"/>
      <c r="AI5" s="1000"/>
      <c r="AJ5" s="1023"/>
      <c r="AK5" s="1023"/>
      <c r="AL5" s="1023"/>
      <c r="AM5" s="1023"/>
      <c r="AN5" s="1023"/>
      <c r="AO5" s="1023"/>
      <c r="AP5" s="1023"/>
      <c r="AQ5" s="1023"/>
      <c r="AR5" s="1023"/>
      <c r="AS5" s="1023"/>
      <c r="AT5" s="1270">
        <v>17</v>
      </c>
    </row>
    <row s="50776" customFormat="1" customHeight="1" ht="11.549999999999999">
      <c r="A6" s="991"/>
      <c r="C6" s="998"/>
      <c r="D6" s="997"/>
      <c r="E6" s="997"/>
      <c r="F6" s="997"/>
      <c r="G6" s="997"/>
      <c r="H6" s="997"/>
      <c r="I6" s="997"/>
      <c r="J6" s="997"/>
      <c r="K6" s="997"/>
      <c r="L6" s="997"/>
      <c r="M6" s="997"/>
      <c r="N6" s="997"/>
      <c r="O6" s="997"/>
      <c r="P6" s="997"/>
      <c r="Q6" s="997"/>
      <c r="R6" s="1264"/>
      <c r="S6" s="1264"/>
      <c r="T6" s="997"/>
      <c r="U6" s="997"/>
      <c r="V6" s="1224"/>
      <c r="W6" s="1224"/>
      <c r="X6" s="997"/>
      <c r="Y6" s="997"/>
      <c r="Z6" s="1224"/>
      <c r="AA6" s="1224"/>
      <c r="AB6" s="997"/>
      <c r="AC6" s="1224"/>
      <c r="AD6" s="1224"/>
      <c r="AE6" s="997"/>
      <c r="AF6" s="997"/>
      <c r="AG6" s="997"/>
      <c r="AH6" s="997"/>
      <c r="AJ6" s="1001"/>
      <c r="AK6" s="1001"/>
      <c r="AL6" s="1001"/>
      <c r="AM6" s="1001"/>
      <c r="AN6" s="1001"/>
      <c r="AO6" s="1001"/>
      <c r="AP6" s="1001"/>
      <c r="AQ6" s="1001"/>
      <c r="AR6" s="1001"/>
      <c r="AS6" s="1001"/>
      <c r="AT6" s="992">
        <v>11</v>
      </c>
    </row>
    <row customHeight="1" ht="14.699999999999998">
      <c r="C7" s="962"/>
      <c r="D7" s="2730" t="s">
        <v>439</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735" t="s">
        <v>440</v>
      </c>
      <c r="AF7" s="2735" t="s">
        <v>440</v>
      </c>
      <c r="AG7" s="2735" t="s">
        <v>440</v>
      </c>
      <c r="AH7" s="2735" t="s">
        <v>440</v>
      </c>
      <c r="AT7" s="959">
        <v>14</v>
      </c>
    </row>
    <row customHeight="1" ht="27.299999999999997">
      <c r="C8" s="962"/>
      <c r="D8" s="2639" t="s">
        <v>90</v>
      </c>
      <c r="E8" s="2735" t="str">
        <f>"Наименование "&amp;IF(TEMPLATE_SPHERE&lt;&gt;"HEAT","централизованной ","")&amp;"системы "&amp;TEMPLATE_SPHERE_RUS</f>
        <v>Наименование централизованной системы холодного водоснабжения</v>
      </c>
      <c r="F8" s="2735" t="str">
        <f>IF(TEMPLATE_SPHERE&lt;&gt;"HEAT","Регулируемый вид деятельности","Вид регулируемой деятельности")</f>
        <v>Регулируемый вид деятельности</v>
      </c>
      <c r="G8" s="1340"/>
      <c r="H8" s="2736" t="s">
        <v>496</v>
      </c>
      <c r="I8" s="2738" t="s">
        <v>497</v>
      </c>
      <c r="J8" s="2735" t="s">
        <v>498</v>
      </c>
      <c r="K8" s="2735"/>
      <c r="L8" s="2735"/>
      <c r="M8" s="2730"/>
      <c r="N8" s="2735" t="s">
        <v>499</v>
      </c>
      <c r="O8" s="2735"/>
      <c r="P8" s="2735" t="s">
        <v>500</v>
      </c>
      <c r="Q8" s="2735"/>
      <c r="R8" s="2742" t="s">
        <v>501</v>
      </c>
      <c r="S8" s="1336"/>
      <c r="T8" s="2740" t="s">
        <v>502</v>
      </c>
      <c r="U8" s="2740" t="s">
        <v>503</v>
      </c>
      <c r="V8" s="2740" t="s">
        <v>504</v>
      </c>
      <c r="W8" s="1338"/>
      <c r="X8" s="2740" t="s">
        <v>505</v>
      </c>
      <c r="Y8" s="2740" t="s">
        <v>506</v>
      </c>
      <c r="Z8" s="2740" t="s">
        <v>507</v>
      </c>
      <c r="AA8" s="1338"/>
      <c r="AB8" s="2740" t="s">
        <v>508</v>
      </c>
      <c r="AC8" s="2740" t="s">
        <v>501</v>
      </c>
      <c r="AD8" s="1338"/>
      <c r="AE8" s="2735"/>
      <c r="AF8" s="2735"/>
      <c r="AG8" s="2735"/>
      <c r="AH8" s="2735"/>
      <c r="AT8" s="959">
        <v>26</v>
      </c>
    </row>
    <row customHeight="1" ht="46.199999999999996">
      <c r="C9" s="962"/>
      <c r="D9" s="2639"/>
      <c r="E9" s="2735"/>
      <c r="F9" s="2735"/>
      <c r="G9" s="1341"/>
      <c r="H9" s="2737"/>
      <c r="I9" s="2739"/>
      <c r="J9" s="937" t="s">
        <v>509</v>
      </c>
      <c r="K9" s="937" t="s">
        <v>510</v>
      </c>
      <c r="L9" s="937" t="s">
        <v>511</v>
      </c>
      <c r="M9" s="943" t="s">
        <v>512</v>
      </c>
      <c r="N9" s="937" t="s">
        <v>513</v>
      </c>
      <c r="O9" s="937" t="s">
        <v>512</v>
      </c>
      <c r="P9" s="937" t="s">
        <v>514</v>
      </c>
      <c r="Q9" s="937" t="s">
        <v>512</v>
      </c>
      <c r="R9" s="2743"/>
      <c r="S9" s="1337"/>
      <c r="T9" s="2741"/>
      <c r="U9" s="2741"/>
      <c r="V9" s="2741"/>
      <c r="W9" s="1339"/>
      <c r="X9" s="2741"/>
      <c r="Y9" s="2741"/>
      <c r="Z9" s="2741"/>
      <c r="AA9" s="1339"/>
      <c r="AB9" s="2741"/>
      <c r="AC9" s="2741"/>
      <c r="AD9" s="1339"/>
      <c r="AE9" s="2735"/>
      <c r="AF9" s="2735"/>
      <c r="AG9" s="2735"/>
      <c r="AH9" s="2735"/>
      <c r="AT9" s="959">
        <v>44</v>
      </c>
    </row>
    <row customHeight="1" ht="12" hidden="1">
      <c r="C10" s="999"/>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59"/>
      <c r="AP10" s="1012"/>
      <c r="AQ10" s="1012"/>
      <c r="AT10" s="959">
        <v>0</v>
      </c>
    </row>
    <row s="51564" customFormat="1" customHeight="1" ht="11.25" hidden="1">
      <c r="C11" s="1010"/>
      <c r="D11" s="1011" t="s">
        <v>515</v>
      </c>
      <c r="E11" s="1011"/>
      <c r="F11" s="1011"/>
      <c r="G11" s="1011"/>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947"/>
      <c r="AF11" s="947"/>
      <c r="AG11" s="947"/>
      <c r="AH11" s="947"/>
      <c r="AJ11" s="1001"/>
      <c r="AK11" s="1001"/>
      <c r="AL11" s="1001"/>
      <c r="AM11" s="1001"/>
      <c r="AN11" s="1001"/>
      <c r="AO11" s="1001"/>
      <c r="AP11" s="1001"/>
      <c r="AQ11" s="1001"/>
      <c r="AR11" s="1001"/>
      <c r="AS11" s="1001"/>
      <c r="AT11" s="1008">
        <v>0</v>
      </c>
    </row>
    <row customHeight="1" ht="14.699999999999998">
      <c r="A12" s="959"/>
      <c r="C12" s="962"/>
      <c r="D12" s="946" t="s">
        <v>101</v>
      </c>
      <c r="E12" s="2289" t="s">
        <v>28</v>
      </c>
      <c r="F12" s="1367"/>
      <c r="G12" s="1368"/>
      <c r="H12" s="2290"/>
      <c r="I12" s="2290"/>
      <c r="J12" s="945"/>
      <c r="K12" s="2375"/>
      <c r="L12" s="944"/>
      <c r="M12" s="2375"/>
      <c r="N12" s="945"/>
      <c r="O12" s="2375"/>
      <c r="P12" s="945"/>
      <c r="Q12" s="2375"/>
      <c r="R12" s="945"/>
      <c r="S12" s="1366"/>
      <c r="T12" s="2290"/>
      <c r="U12" s="945"/>
      <c r="V12" s="945"/>
      <c r="W12" s="1339"/>
      <c r="X12" s="2290"/>
      <c r="Y12" s="945"/>
      <c r="Z12" s="945"/>
      <c r="AA12" s="1339"/>
      <c r="AB12" s="2290"/>
      <c r="AC12" s="945"/>
      <c r="AD12" s="1339"/>
      <c r="AE12" s="2733" t="s">
        <v>516</v>
      </c>
      <c r="AF12" s="2733" t="s">
        <v>517</v>
      </c>
      <c r="AG12" s="2733" t="s">
        <v>518</v>
      </c>
      <c r="AH12" s="2733" t="s">
        <v>519</v>
      </c>
      <c r="AI12" s="959"/>
      <c r="AM12" s="1023"/>
      <c r="AP12" s="1012" t="s">
        <v>520</v>
      </c>
      <c r="AQ12" s="1012" t="s">
        <v>520</v>
      </c>
      <c r="AT12" s="959">
        <v>14</v>
      </c>
    </row>
    <row customHeight="1" ht="18">
      <c r="A13" s="959"/>
      <c r="C13" s="962"/>
      <c r="D13" s="917"/>
      <c r="E13" s="1381" t="str">
        <f>IF(TITLE_DIFFERENTIATION_TYPE="нет","","Добавить систему")</f>
        <v/>
      </c>
      <c r="F13" s="1381" t="str">
        <f>IF(TITLE_DIFFERENTIATION_TYPE="нет","Добавить вид деятельности","")</f>
        <v>Добавить вид деятельности</v>
      </c>
      <c r="G13" s="825"/>
      <c r="H13" s="918"/>
      <c r="I13" s="918"/>
      <c r="J13" s="918"/>
      <c r="K13" s="918"/>
      <c r="L13" s="918"/>
      <c r="M13" s="918"/>
      <c r="N13" s="918"/>
      <c r="O13" s="918"/>
      <c r="P13" s="918"/>
      <c r="Q13" s="918"/>
      <c r="R13" s="918"/>
      <c r="S13" s="918"/>
      <c r="T13" s="918"/>
      <c r="U13" s="918"/>
      <c r="V13" s="918"/>
      <c r="W13" s="918"/>
      <c r="X13" s="918"/>
      <c r="Y13" s="918"/>
      <c r="Z13" s="918"/>
      <c r="AA13" s="918"/>
      <c r="AB13" s="918"/>
      <c r="AC13" s="918"/>
      <c r="AD13" s="1369"/>
      <c r="AE13" s="2734"/>
      <c r="AF13" s="2734"/>
      <c r="AG13" s="2734"/>
      <c r="AH13" s="2734"/>
      <c r="AI13" s="959"/>
      <c r="AT13" s="959">
        <v>17</v>
      </c>
    </row>
    <row customHeight="1" ht="14.699999999999998">
      <c r="AI14" s="959"/>
      <c r="AT14" s="959">
        <v>14</v>
      </c>
    </row>
    <row customHeight="1" ht="14.699999999999998">
      <c r="E15" s="1270"/>
      <c r="L15" s="1270"/>
      <c r="AT15" s="959">
        <v>14</v>
      </c>
    </row>
    <row customHeight="1" ht="14.699999999999998">
      <c r="L16" s="1270"/>
      <c r="AT16" s="959">
        <v>14</v>
      </c>
    </row>
    <row customHeight="1" ht="14.699999999999998">
      <c r="L17" s="1270"/>
      <c r="AT17" s="959">
        <v>14</v>
      </c>
    </row>
    <row customHeight="1" ht="22.5" hidden="1">
      <c r="A18" s="961" t="s">
        <v>84</v>
      </c>
      <c r="B18" s="959">
        <v>0</v>
      </c>
      <c r="C18" s="963">
        <v>3</v>
      </c>
      <c r="D18" s="959">
        <v>5</v>
      </c>
      <c r="E18" s="959">
        <v>48</v>
      </c>
      <c r="F18" s="959">
        <v>38</v>
      </c>
      <c r="G18" s="1270">
        <v>0</v>
      </c>
      <c r="H18" s="959">
        <v>0</v>
      </c>
      <c r="I18" s="959">
        <v>0</v>
      </c>
      <c r="J18" s="959">
        <v>0</v>
      </c>
      <c r="K18" s="959">
        <v>0</v>
      </c>
      <c r="L18" s="959">
        <v>0</v>
      </c>
      <c r="M18" s="959">
        <v>0</v>
      </c>
      <c r="N18" s="959">
        <v>0</v>
      </c>
      <c r="O18" s="959">
        <v>0</v>
      </c>
      <c r="P18" s="959">
        <v>0</v>
      </c>
      <c r="Q18" s="959">
        <v>0</v>
      </c>
      <c r="R18" s="959">
        <v>0</v>
      </c>
      <c r="S18" s="1270">
        <v>0</v>
      </c>
      <c r="T18" s="1017">
        <v>0</v>
      </c>
      <c r="U18" s="1017">
        <v>0</v>
      </c>
      <c r="V18" s="1017">
        <v>0</v>
      </c>
      <c r="W18" s="1270">
        <v>0</v>
      </c>
      <c r="X18" s="1017">
        <v>0</v>
      </c>
      <c r="Y18" s="1017">
        <v>0</v>
      </c>
      <c r="Z18" s="1017">
        <v>0</v>
      </c>
      <c r="AA18" s="1270">
        <v>0</v>
      </c>
      <c r="AB18" s="1017">
        <v>0</v>
      </c>
      <c r="AC18" s="1017">
        <v>0</v>
      </c>
      <c r="AD18" s="1270">
        <v>0</v>
      </c>
      <c r="AE18" s="959">
        <v>0</v>
      </c>
      <c r="AF18" s="1017">
        <v>0</v>
      </c>
      <c r="AG18" s="1017">
        <v>0</v>
      </c>
      <c r="AH18" s="1017">
        <v>0</v>
      </c>
      <c r="AI18" s="964">
        <v>3</v>
      </c>
      <c r="AJ18" s="1001">
        <v>10</v>
      </c>
      <c r="AK18" s="1001">
        <v>10</v>
      </c>
      <c r="AL18" s="1001">
        <v>10</v>
      </c>
      <c r="AM18" s="1001">
        <v>0</v>
      </c>
      <c r="AN18" s="1001">
        <v>15</v>
      </c>
      <c r="AO18" s="1001">
        <v>16</v>
      </c>
      <c r="AP18" s="1001">
        <v>10</v>
      </c>
      <c r="AQ18" s="1001">
        <v>10</v>
      </c>
      <c r="AR18" s="1001">
        <v>10</v>
      </c>
      <c r="AS18" s="1001">
        <v>10</v>
      </c>
      <c r="AT18" s="95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6E3B15-5817-8938-3D52-EB052BD08E95}" mc:Ignorable="x14ac xr xr2 xr3">
  <sheetPr>
    <tabColor rgb="FFFFCC99"/>
  </sheetPr>
  <dimension ref="A1:B16"/>
  <sheetViews>
    <sheetView topLeftCell="A1" showGridLines="0" workbookViewId="0">
      <selection activeCell="A1" sqref="A1"/>
    </sheetView>
  </sheetViews>
  <sheetFormatPr defaultColWidth="9.140625" customHeight="1" defaultRowHeight="11.25"/>
  <cols>
    <col min="1" max="2" style="61574" width="9.140625"/>
  </cols>
  <sheetData>
    <row customHeight="1" ht="11.25">
      <c r="A1" s="695" t="s">
        <v>196</v>
      </c>
      <c r="B1" s="695" t="s">
        <v>3618</v>
      </c>
    </row>
    <row customHeight="1" ht="11.25">
      <c r="A2" s="61573" t="s">
        <v>100</v>
      </c>
      <c r="B2" s="61573" t="s">
        <v>3619</v>
      </c>
    </row>
    <row customHeight="1" ht="11.25">
      <c r="A3" s="61573" t="s">
        <v>107</v>
      </c>
      <c r="B3" s="61573" t="s">
        <v>3620</v>
      </c>
    </row>
    <row customHeight="1" ht="11.25">
      <c r="A4" s="61573" t="s">
        <v>112</v>
      </c>
      <c r="B4" s="61573" t="s">
        <v>3621</v>
      </c>
    </row>
    <row customHeight="1" ht="11.25">
      <c r="A5" s="61573" t="s">
        <v>117</v>
      </c>
      <c r="B5" s="61573" t="s">
        <v>3622</v>
      </c>
    </row>
    <row customHeight="1" ht="11.25">
      <c r="A6" s="61573" t="s">
        <v>122</v>
      </c>
      <c r="B6" s="61573" t="s">
        <v>3623</v>
      </c>
    </row>
    <row customHeight="1" ht="11.25">
      <c r="A7" s="61573" t="s">
        <v>126</v>
      </c>
      <c r="B7" s="61573" t="s">
        <v>3624</v>
      </c>
    </row>
    <row customHeight="1" ht="11.25">
      <c r="A8" s="61573" t="s">
        <v>131</v>
      </c>
      <c r="B8" s="61573" t="s">
        <v>3625</v>
      </c>
    </row>
    <row customHeight="1" ht="11.25">
      <c r="A9" s="61573" t="s">
        <v>136</v>
      </c>
      <c r="B9" s="61573" t="s">
        <v>3626</v>
      </c>
    </row>
    <row customHeight="1" ht="11.25">
      <c r="A10" s="61573" t="s">
        <v>141</v>
      </c>
      <c r="B10" s="61573" t="s">
        <v>3627</v>
      </c>
    </row>
    <row customHeight="1" ht="11.25">
      <c r="A11" s="61573" t="s">
        <v>146</v>
      </c>
      <c r="B11" s="61573" t="s">
        <v>3628</v>
      </c>
    </row>
    <row customHeight="1" ht="11.25">
      <c r="A12" s="61573" t="s">
        <v>152</v>
      </c>
      <c r="B12" s="61573" t="s">
        <v>3629</v>
      </c>
    </row>
    <row customHeight="1" ht="11.25">
      <c r="A13" s="61573" t="s">
        <v>157</v>
      </c>
      <c r="B13" s="61573" t="s">
        <v>3630</v>
      </c>
    </row>
    <row customHeight="1" ht="11.25">
      <c r="A14" s="61573" t="s">
        <v>161</v>
      </c>
      <c r="B14" s="61573" t="s">
        <v>3631</v>
      </c>
    </row>
    <row customHeight="1" ht="11.25">
      <c r="A15" s="61573" t="s">
        <v>165</v>
      </c>
      <c r="B15" s="61573" t="s">
        <v>3632</v>
      </c>
    </row>
    <row customHeight="1" ht="11.25">
      <c r="A16" s="61573" t="s">
        <v>169</v>
      </c>
      <c r="B16" s="61573" t="s">
        <v>3633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AE0AC2-3B3E-9601-14C2-8054BCE8931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61571" width="9.140625"/>
    <col min="2" max="2" style="61571" width="65.28125" customWidth="1"/>
  </cols>
  <sheetData>
    <row customHeight="1" ht="11.25">
      <c r="A1" s="1347" t="s">
        <v>3634</v>
      </c>
      <c r="B1" s="1347" t="s">
        <v>3635</v>
      </c>
    </row>
    <row customHeight="1" ht="11.25">
      <c r="A2" s="1347">
        <v>4213775</v>
      </c>
      <c r="B2" s="1347" t="s">
        <v>1364</v>
      </c>
    </row>
    <row customHeight="1" ht="11.25">
      <c r="A3" s="1347">
        <v>4213784</v>
      </c>
      <c r="B3" s="1347" t="s">
        <v>1398</v>
      </c>
    </row>
    <row customHeight="1" ht="11.25">
      <c r="A4" s="1347">
        <v>4213781</v>
      </c>
      <c r="B4" s="1347" t="s">
        <v>1391</v>
      </c>
    </row>
    <row customHeight="1" ht="11.25">
      <c r="A5" s="1347">
        <v>4213776</v>
      </c>
      <c r="B5" s="1347" t="s">
        <v>226</v>
      </c>
    </row>
    <row customHeight="1" ht="11.25">
      <c r="A6" s="1347">
        <v>4213777</v>
      </c>
      <c r="B6" s="1347" t="s">
        <v>232</v>
      </c>
    </row>
    <row customHeight="1" ht="11.25">
      <c r="A7" s="1347">
        <v>4213778</v>
      </c>
      <c r="B7" s="1347" t="s">
        <v>238</v>
      </c>
    </row>
    <row customHeight="1" ht="11.25">
      <c r="A8" s="1347">
        <v>4213780</v>
      </c>
      <c r="B8" s="1347" t="s">
        <v>244</v>
      </c>
    </row>
    <row customHeight="1" ht="11.25">
      <c r="A9" s="1347">
        <v>4213779</v>
      </c>
      <c r="B9" s="1347" t="s">
        <v>1531</v>
      </c>
    </row>
    <row customHeight="1" ht="11.25">
      <c r="A10" s="1347">
        <v>4213783</v>
      </c>
      <c r="B10" s="1347" t="s">
        <v>1546</v>
      </c>
    </row>
    <row customHeight="1" ht="11.25">
      <c r="A11" s="1347">
        <v>4213782</v>
      </c>
      <c r="B11" s="1347" t="s">
        <v>250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9B2BC3-CDDF-DC95-43BD-A9A731106D6D}"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61571" width="9.140625"/>
    <col min="2" max="2" style="61571" width="65.28125" customWidth="1"/>
  </cols>
  <sheetData>
    <row customHeight="1" ht="11.25">
      <c r="A1" s="1347" t="s">
        <v>3634</v>
      </c>
      <c r="B1" s="1347" t="s">
        <v>3636</v>
      </c>
    </row>
    <row customHeight="1" ht="11.25">
      <c r="A2" s="1347" t="s">
        <v>3637</v>
      </c>
      <c r="B2" s="1347" t="s">
        <v>1643</v>
      </c>
    </row>
    <row customHeight="1" ht="11.25">
      <c r="A3" s="1347" t="s">
        <v>3638</v>
      </c>
      <c r="B3" s="1347" t="s">
        <v>1653</v>
      </c>
    </row>
    <row customHeight="1" ht="11.25">
      <c r="A4" s="1347" t="s">
        <v>3639</v>
      </c>
      <c r="B4" s="1347" t="s">
        <v>1662</v>
      </c>
    </row>
    <row customHeight="1" ht="11.25">
      <c r="A5" s="1347" t="s">
        <v>3640</v>
      </c>
      <c r="B5" s="1347" t="s">
        <v>1671</v>
      </c>
    </row>
    <row customHeight="1" ht="11.25">
      <c r="A6" s="1347" t="s">
        <v>3641</v>
      </c>
      <c r="B6" s="1347" t="s">
        <v>1677</v>
      </c>
    </row>
    <row customHeight="1" ht="11.25">
      <c r="A7" s="1347" t="s">
        <v>3642</v>
      </c>
      <c r="B7" s="1347" t="s">
        <v>1685</v>
      </c>
    </row>
    <row customHeight="1" ht="11.25">
      <c r="A8" s="1347" t="s">
        <v>3643</v>
      </c>
      <c r="B8" s="1347" t="s">
        <v>1692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916F8F-6CE2-8FB6-E955-0277BB378AC1}"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885" t="s">
        <v>3341</v>
      </c>
      <c r="B1" s="885" t="s">
        <v>3342</v>
      </c>
      <c r="C1" s="885" t="s">
        <v>3343</v>
      </c>
      <c r="D1" s="885" t="s">
        <v>3344</v>
      </c>
      <c r="E1" s="0" t="s">
        <v>3345</v>
      </c>
      <c r="F1" s="0" t="s">
        <v>3346</v>
      </c>
      <c r="G1" s="0" t="s">
        <v>3347</v>
      </c>
    </row>
    <row customHeight="1" ht="11.25">
      <c r="A2" s="0" t="s">
        <v>16</v>
      </c>
      <c r="B2" s="0" t="s">
        <v>102</v>
      </c>
      <c r="C2" s="0" t="s">
        <v>103</v>
      </c>
      <c r="D2" s="0" t="s">
        <v>102</v>
      </c>
      <c r="E2" s="0" t="s">
        <v>103</v>
      </c>
      <c r="F2" s="0" t="s">
        <v>3348</v>
      </c>
      <c r="G2" s="0" t="s">
        <v>101</v>
      </c>
    </row>
    <row customHeight="1" ht="11.25">
      <c r="A3" s="0" t="s">
        <v>16</v>
      </c>
      <c r="B3" s="0" t="s">
        <v>3349</v>
      </c>
      <c r="C3" s="0" t="s">
        <v>3350</v>
      </c>
      <c r="D3" s="0" t="s">
        <v>3349</v>
      </c>
      <c r="E3" s="0" t="s">
        <v>3350</v>
      </c>
      <c r="F3" s="0" t="s">
        <v>3351</v>
      </c>
      <c r="G3" s="0" t="s">
        <v>105</v>
      </c>
    </row>
    <row customHeight="1" ht="11.25">
      <c r="A4" s="0" t="s">
        <v>16</v>
      </c>
      <c r="B4" s="0" t="s">
        <v>3352</v>
      </c>
      <c r="C4" s="0" t="s">
        <v>3353</v>
      </c>
      <c r="D4" s="0" t="s">
        <v>3352</v>
      </c>
      <c r="E4" s="0" t="s">
        <v>3353</v>
      </c>
      <c r="F4" s="0" t="s">
        <v>3351</v>
      </c>
      <c r="G4" s="0" t="s">
        <v>92</v>
      </c>
    </row>
    <row customHeight="1" ht="11.25">
      <c r="A5" s="0" t="s">
        <v>16</v>
      </c>
      <c r="B5" s="0" t="s">
        <v>3354</v>
      </c>
      <c r="C5" s="0" t="s">
        <v>3355</v>
      </c>
      <c r="D5" s="0" t="s">
        <v>3354</v>
      </c>
      <c r="E5" s="0" t="s">
        <v>3355</v>
      </c>
      <c r="F5" s="0" t="s">
        <v>3351</v>
      </c>
      <c r="G5" s="0" t="s">
        <v>93</v>
      </c>
    </row>
    <row customHeight="1" ht="11.25">
      <c r="A6" s="0" t="s">
        <v>16</v>
      </c>
      <c r="B6" s="0" t="s">
        <v>166</v>
      </c>
      <c r="C6" s="0" t="s">
        <v>167</v>
      </c>
      <c r="D6" s="0" t="s">
        <v>166</v>
      </c>
      <c r="E6" s="0" t="s">
        <v>167</v>
      </c>
      <c r="F6" s="0" t="s">
        <v>3351</v>
      </c>
      <c r="G6" s="0" t="s">
        <v>121</v>
      </c>
    </row>
    <row customHeight="1" ht="11.25">
      <c r="A7" s="0" t="s">
        <v>16</v>
      </c>
      <c r="B7" s="0" t="s">
        <v>158</v>
      </c>
      <c r="C7" s="0" t="s">
        <v>159</v>
      </c>
      <c r="D7" s="0" t="s">
        <v>158</v>
      </c>
      <c r="E7" s="0" t="s">
        <v>159</v>
      </c>
      <c r="F7" s="0" t="s">
        <v>3351</v>
      </c>
      <c r="G7" s="0" t="s">
        <v>94</v>
      </c>
    </row>
    <row customHeight="1" ht="11.25">
      <c r="A8" s="0" t="s">
        <v>16</v>
      </c>
      <c r="B8" s="0" t="s">
        <v>162</v>
      </c>
      <c r="C8" s="0" t="s">
        <v>163</v>
      </c>
      <c r="D8" s="0" t="s">
        <v>162</v>
      </c>
      <c r="E8" s="0" t="s">
        <v>163</v>
      </c>
      <c r="F8" s="0" t="s">
        <v>3351</v>
      </c>
      <c r="G8" s="0" t="s">
        <v>95</v>
      </c>
    </row>
    <row customHeight="1" ht="11.25">
      <c r="A9" s="0" t="s">
        <v>16</v>
      </c>
      <c r="B9" s="0" t="s">
        <v>3356</v>
      </c>
      <c r="C9" s="0" t="s">
        <v>3357</v>
      </c>
      <c r="D9" s="0" t="s">
        <v>3358</v>
      </c>
      <c r="E9" s="0" t="s">
        <v>3359</v>
      </c>
      <c r="F9" s="0" t="s">
        <v>3360</v>
      </c>
      <c r="G9" s="0" t="s">
        <v>135</v>
      </c>
    </row>
    <row customHeight="1" ht="11.25">
      <c r="A10" s="0" t="s">
        <v>16</v>
      </c>
      <c r="B10" s="0" t="s">
        <v>3356</v>
      </c>
      <c r="C10" s="0" t="s">
        <v>3357</v>
      </c>
      <c r="D10" s="0" t="s">
        <v>3356</v>
      </c>
      <c r="E10" s="0" t="s">
        <v>3357</v>
      </c>
      <c r="F10" s="0" t="s">
        <v>3361</v>
      </c>
      <c r="G10" s="0" t="s">
        <v>140</v>
      </c>
    </row>
    <row customHeight="1" ht="11.25">
      <c r="A11" s="0" t="s">
        <v>16</v>
      </c>
      <c r="B11" s="0" t="s">
        <v>3356</v>
      </c>
      <c r="C11" s="0" t="s">
        <v>3357</v>
      </c>
      <c r="D11" s="0" t="s">
        <v>3362</v>
      </c>
      <c r="E11" s="0" t="s">
        <v>3363</v>
      </c>
      <c r="F11" s="0" t="s">
        <v>3360</v>
      </c>
      <c r="G11" s="0" t="s">
        <v>145</v>
      </c>
    </row>
    <row customHeight="1" ht="11.25">
      <c r="A12" s="0" t="s">
        <v>16</v>
      </c>
      <c r="B12" s="0" t="s">
        <v>3356</v>
      </c>
      <c r="C12" s="0" t="s">
        <v>3357</v>
      </c>
      <c r="D12" s="0" t="s">
        <v>3364</v>
      </c>
      <c r="E12" s="0" t="s">
        <v>3365</v>
      </c>
      <c r="F12" s="0" t="s">
        <v>3366</v>
      </c>
      <c r="G12" s="0" t="s">
        <v>151</v>
      </c>
    </row>
    <row customHeight="1" ht="11.25">
      <c r="A13" s="0" t="s">
        <v>16</v>
      </c>
      <c r="B13" s="0" t="s">
        <v>3356</v>
      </c>
      <c r="C13" s="0" t="s">
        <v>3357</v>
      </c>
      <c r="D13" s="0" t="s">
        <v>3367</v>
      </c>
      <c r="E13" s="0" t="s">
        <v>3368</v>
      </c>
      <c r="F13" s="0" t="s">
        <v>3360</v>
      </c>
      <c r="G13" s="0" t="s">
        <v>156</v>
      </c>
    </row>
    <row customHeight="1" ht="11.25">
      <c r="A14" s="0" t="s">
        <v>16</v>
      </c>
      <c r="B14" s="0" t="s">
        <v>3356</v>
      </c>
      <c r="C14" s="0" t="s">
        <v>3357</v>
      </c>
      <c r="D14" s="0" t="s">
        <v>3369</v>
      </c>
      <c r="E14" s="0" t="s">
        <v>3370</v>
      </c>
      <c r="F14" s="0" t="s">
        <v>3360</v>
      </c>
      <c r="G14" s="0" t="s">
        <v>160</v>
      </c>
    </row>
    <row customHeight="1" ht="11.25">
      <c r="A15" s="0" t="s">
        <v>16</v>
      </c>
      <c r="B15" s="0" t="s">
        <v>3356</v>
      </c>
      <c r="C15" s="0" t="s">
        <v>3357</v>
      </c>
      <c r="D15" s="0" t="s">
        <v>3371</v>
      </c>
      <c r="E15" s="0" t="s">
        <v>3372</v>
      </c>
      <c r="F15" s="0" t="s">
        <v>3360</v>
      </c>
      <c r="G15" s="0" t="s">
        <v>164</v>
      </c>
    </row>
    <row customHeight="1" ht="11.25">
      <c r="A16" s="0" t="s">
        <v>16</v>
      </c>
      <c r="B16" s="0" t="s">
        <v>3356</v>
      </c>
      <c r="C16" s="0" t="s">
        <v>3357</v>
      </c>
      <c r="D16" s="0" t="s">
        <v>3373</v>
      </c>
      <c r="E16" s="0" t="s">
        <v>3374</v>
      </c>
      <c r="F16" s="0" t="s">
        <v>3360</v>
      </c>
      <c r="G16" s="0" t="s">
        <v>168</v>
      </c>
    </row>
    <row customHeight="1" ht="11.25">
      <c r="A17" s="0" t="s">
        <v>16</v>
      </c>
      <c r="B17" s="0" t="s">
        <v>119</v>
      </c>
      <c r="C17" s="0" t="s">
        <v>120</v>
      </c>
      <c r="D17" s="0" t="s">
        <v>119</v>
      </c>
      <c r="E17" s="0" t="s">
        <v>120</v>
      </c>
      <c r="F17" s="0" t="s">
        <v>3348</v>
      </c>
      <c r="G17" s="0" t="s">
        <v>118</v>
      </c>
    </row>
    <row customHeight="1" ht="11.25">
      <c r="A18" s="0" t="s">
        <v>16</v>
      </c>
      <c r="B18" s="0" t="s">
        <v>3375</v>
      </c>
      <c r="C18" s="0" t="s">
        <v>3376</v>
      </c>
      <c r="D18" s="0" t="s">
        <v>3377</v>
      </c>
      <c r="E18" s="0" t="s">
        <v>3378</v>
      </c>
      <c r="F18" s="0" t="s">
        <v>3360</v>
      </c>
      <c r="G18" s="0" t="s">
        <v>1622</v>
      </c>
    </row>
    <row customHeight="1" ht="11.25">
      <c r="A19" s="0" t="s">
        <v>16</v>
      </c>
      <c r="B19" s="0" t="s">
        <v>3375</v>
      </c>
      <c r="C19" s="0" t="s">
        <v>3376</v>
      </c>
      <c r="D19" s="0" t="s">
        <v>3379</v>
      </c>
      <c r="E19" s="0" t="s">
        <v>3380</v>
      </c>
      <c r="F19" s="0" t="s">
        <v>3381</v>
      </c>
      <c r="G19" s="0" t="s">
        <v>1636</v>
      </c>
    </row>
    <row customHeight="1" ht="11.25">
      <c r="A20" s="0" t="s">
        <v>16</v>
      </c>
      <c r="B20" s="0" t="s">
        <v>3375</v>
      </c>
      <c r="C20" s="0" t="s">
        <v>3376</v>
      </c>
      <c r="D20" s="0" t="s">
        <v>3375</v>
      </c>
      <c r="E20" s="0" t="s">
        <v>3376</v>
      </c>
      <c r="F20" s="0" t="s">
        <v>3361</v>
      </c>
      <c r="G20" s="0" t="s">
        <v>1648</v>
      </c>
    </row>
    <row customHeight="1" ht="11.25">
      <c r="A21" s="0" t="s">
        <v>16</v>
      </c>
      <c r="B21" s="0" t="s">
        <v>3375</v>
      </c>
      <c r="C21" s="0" t="s">
        <v>3376</v>
      </c>
      <c r="D21" s="0" t="s">
        <v>3382</v>
      </c>
      <c r="E21" s="0" t="s">
        <v>3383</v>
      </c>
      <c r="F21" s="0" t="s">
        <v>3381</v>
      </c>
      <c r="G21" s="0" t="s">
        <v>1657</v>
      </c>
    </row>
    <row customHeight="1" ht="11.25">
      <c r="A22" s="0" t="s">
        <v>16</v>
      </c>
      <c r="B22" s="0" t="s">
        <v>3375</v>
      </c>
      <c r="C22" s="0" t="s">
        <v>3376</v>
      </c>
      <c r="D22" s="0" t="s">
        <v>3384</v>
      </c>
      <c r="E22" s="0" t="s">
        <v>3385</v>
      </c>
      <c r="F22" s="0" t="s">
        <v>3360</v>
      </c>
      <c r="G22" s="0" t="s">
        <v>1673</v>
      </c>
    </row>
    <row customHeight="1" ht="11.25">
      <c r="A23" s="0" t="s">
        <v>16</v>
      </c>
      <c r="B23" s="0" t="s">
        <v>3375</v>
      </c>
      <c r="C23" s="0" t="s">
        <v>3376</v>
      </c>
      <c r="D23" s="0" t="s">
        <v>3386</v>
      </c>
      <c r="E23" s="0" t="s">
        <v>3387</v>
      </c>
      <c r="F23" s="0" t="s">
        <v>3366</v>
      </c>
      <c r="G23" s="0" t="s">
        <v>1680</v>
      </c>
    </row>
    <row customHeight="1" ht="11.25">
      <c r="A24" s="0" t="s">
        <v>16</v>
      </c>
      <c r="B24" s="0" t="s">
        <v>3375</v>
      </c>
      <c r="C24" s="0" t="s">
        <v>3376</v>
      </c>
      <c r="D24" s="0" t="s">
        <v>3388</v>
      </c>
      <c r="E24" s="0" t="s">
        <v>3389</v>
      </c>
      <c r="F24" s="0" t="s">
        <v>3360</v>
      </c>
      <c r="G24" s="0" t="s">
        <v>1688</v>
      </c>
    </row>
    <row customHeight="1" ht="11.25">
      <c r="A25" s="0" t="s">
        <v>16</v>
      </c>
      <c r="B25" s="0" t="s">
        <v>3375</v>
      </c>
      <c r="C25" s="0" t="s">
        <v>3376</v>
      </c>
      <c r="D25" s="0" t="s">
        <v>3390</v>
      </c>
      <c r="E25" s="0" t="s">
        <v>3391</v>
      </c>
      <c r="F25" s="0" t="s">
        <v>3360</v>
      </c>
      <c r="G25" s="0" t="s">
        <v>1695</v>
      </c>
    </row>
    <row customHeight="1" ht="11.25">
      <c r="A26" s="0" t="s">
        <v>16</v>
      </c>
      <c r="B26" s="0" t="s">
        <v>3392</v>
      </c>
      <c r="C26" s="0" t="s">
        <v>3393</v>
      </c>
      <c r="D26" s="0" t="s">
        <v>3392</v>
      </c>
      <c r="E26" s="0" t="s">
        <v>3393</v>
      </c>
      <c r="F26" s="0" t="s">
        <v>3348</v>
      </c>
      <c r="G26" s="0" t="s">
        <v>1699</v>
      </c>
    </row>
    <row customHeight="1" ht="11.25">
      <c r="A27" s="0" t="s">
        <v>16</v>
      </c>
      <c r="B27" s="0" t="s">
        <v>109</v>
      </c>
      <c r="C27" s="0" t="s">
        <v>3394</v>
      </c>
      <c r="D27" s="0" t="s">
        <v>3395</v>
      </c>
      <c r="E27" s="0" t="s">
        <v>3396</v>
      </c>
      <c r="F27" s="0" t="s">
        <v>3381</v>
      </c>
      <c r="G27" s="0" t="s">
        <v>1704</v>
      </c>
    </row>
    <row customHeight="1" ht="11.25">
      <c r="A28" s="0" t="s">
        <v>16</v>
      </c>
      <c r="B28" s="0" t="s">
        <v>109</v>
      </c>
      <c r="C28" s="0" t="s">
        <v>3394</v>
      </c>
      <c r="D28" s="0" t="s">
        <v>3397</v>
      </c>
      <c r="E28" s="0" t="s">
        <v>3398</v>
      </c>
      <c r="F28" s="0" t="s">
        <v>3360</v>
      </c>
      <c r="G28" s="0" t="s">
        <v>1712</v>
      </c>
    </row>
    <row customHeight="1" ht="11.25">
      <c r="A29" s="0" t="s">
        <v>16</v>
      </c>
      <c r="B29" s="0" t="s">
        <v>109</v>
      </c>
      <c r="C29" s="0" t="s">
        <v>3394</v>
      </c>
      <c r="D29" s="0" t="s">
        <v>110</v>
      </c>
      <c r="E29" s="0" t="s">
        <v>111</v>
      </c>
      <c r="F29" s="0" t="s">
        <v>3360</v>
      </c>
      <c r="G29" s="0" t="s">
        <v>108</v>
      </c>
    </row>
    <row customHeight="1" ht="11.25">
      <c r="A30" s="0" t="s">
        <v>16</v>
      </c>
      <c r="B30" s="0" t="s">
        <v>109</v>
      </c>
      <c r="C30" s="0" t="s">
        <v>3394</v>
      </c>
      <c r="D30" s="0" t="s">
        <v>3399</v>
      </c>
      <c r="E30" s="0" t="s">
        <v>3400</v>
      </c>
      <c r="F30" s="0" t="s">
        <v>3360</v>
      </c>
      <c r="G30" s="0" t="s">
        <v>1716</v>
      </c>
    </row>
    <row customHeight="1" ht="11.25">
      <c r="A31" s="0" t="s">
        <v>16</v>
      </c>
      <c r="B31" s="0" t="s">
        <v>109</v>
      </c>
      <c r="C31" s="0" t="s">
        <v>3394</v>
      </c>
      <c r="D31" s="0" t="s">
        <v>3401</v>
      </c>
      <c r="E31" s="0" t="s">
        <v>3402</v>
      </c>
      <c r="F31" s="0" t="s">
        <v>3360</v>
      </c>
      <c r="G31" s="0" t="s">
        <v>1721</v>
      </c>
    </row>
    <row customHeight="1" ht="11.25">
      <c r="A32" s="0" t="s">
        <v>16</v>
      </c>
      <c r="B32" s="0" t="s">
        <v>109</v>
      </c>
      <c r="C32" s="0" t="s">
        <v>3394</v>
      </c>
      <c r="D32" s="0" t="s">
        <v>109</v>
      </c>
      <c r="E32" s="0" t="s">
        <v>3394</v>
      </c>
      <c r="F32" s="0" t="s">
        <v>3361</v>
      </c>
      <c r="G32" s="0" t="s">
        <v>1723</v>
      </c>
    </row>
    <row customHeight="1" ht="11.25">
      <c r="A33" s="0" t="s">
        <v>16</v>
      </c>
      <c r="B33" s="0" t="s">
        <v>109</v>
      </c>
      <c r="C33" s="0" t="s">
        <v>3394</v>
      </c>
      <c r="D33" s="0" t="s">
        <v>3403</v>
      </c>
      <c r="E33" s="0" t="s">
        <v>3404</v>
      </c>
      <c r="F33" s="0" t="s">
        <v>3360</v>
      </c>
      <c r="G33" s="0" t="s">
        <v>1725</v>
      </c>
    </row>
    <row customHeight="1" ht="11.25">
      <c r="A34" s="0" t="s">
        <v>16</v>
      </c>
      <c r="B34" s="0" t="s">
        <v>109</v>
      </c>
      <c r="C34" s="0" t="s">
        <v>3394</v>
      </c>
      <c r="D34" s="0" t="s">
        <v>3405</v>
      </c>
      <c r="E34" s="0" t="s">
        <v>3406</v>
      </c>
      <c r="F34" s="0" t="s">
        <v>3360</v>
      </c>
      <c r="G34" s="0" t="s">
        <v>1727</v>
      </c>
    </row>
    <row customHeight="1" ht="11.25">
      <c r="A35" s="0" t="s">
        <v>16</v>
      </c>
      <c r="B35" s="0" t="s">
        <v>109</v>
      </c>
      <c r="C35" s="0" t="s">
        <v>3394</v>
      </c>
      <c r="D35" s="0" t="s">
        <v>3407</v>
      </c>
      <c r="E35" s="0" t="s">
        <v>3408</v>
      </c>
      <c r="F35" s="0" t="s">
        <v>3360</v>
      </c>
      <c r="G35" s="0" t="s">
        <v>1732</v>
      </c>
    </row>
    <row customHeight="1" ht="11.25">
      <c r="A36" s="0" t="s">
        <v>16</v>
      </c>
      <c r="B36" s="0" t="s">
        <v>109</v>
      </c>
      <c r="C36" s="0" t="s">
        <v>3394</v>
      </c>
      <c r="D36" s="0" t="s">
        <v>3409</v>
      </c>
      <c r="E36" s="0" t="s">
        <v>3410</v>
      </c>
      <c r="F36" s="0" t="s">
        <v>3360</v>
      </c>
      <c r="G36" s="0" t="s">
        <v>1737</v>
      </c>
    </row>
    <row customHeight="1" ht="11.25">
      <c r="A37" s="0" t="s">
        <v>16</v>
      </c>
      <c r="B37" s="0" t="s">
        <v>109</v>
      </c>
      <c r="C37" s="0" t="s">
        <v>3394</v>
      </c>
      <c r="D37" s="0" t="s">
        <v>3411</v>
      </c>
      <c r="E37" s="0" t="s">
        <v>3412</v>
      </c>
      <c r="F37" s="0" t="s">
        <v>3360</v>
      </c>
      <c r="G37" s="0" t="s">
        <v>1741</v>
      </c>
    </row>
    <row customHeight="1" ht="11.25">
      <c r="A38" s="0" t="s">
        <v>16</v>
      </c>
      <c r="B38" s="0" t="s">
        <v>3413</v>
      </c>
      <c r="C38" s="0" t="s">
        <v>3414</v>
      </c>
      <c r="D38" s="0" t="s">
        <v>3413</v>
      </c>
      <c r="E38" s="0" t="s">
        <v>3414</v>
      </c>
      <c r="F38" s="0" t="s">
        <v>3348</v>
      </c>
      <c r="G38" s="0" t="s">
        <v>1749</v>
      </c>
    </row>
    <row customHeight="1" ht="11.25">
      <c r="A39" s="0" t="s">
        <v>16</v>
      </c>
      <c r="B39" s="0" t="s">
        <v>3415</v>
      </c>
      <c r="C39" s="0" t="s">
        <v>3416</v>
      </c>
      <c r="D39" s="0" t="s">
        <v>3415</v>
      </c>
      <c r="E39" s="0" t="s">
        <v>3416</v>
      </c>
      <c r="F39" s="0" t="s">
        <v>3351</v>
      </c>
      <c r="G39" s="0" t="s">
        <v>1755</v>
      </c>
    </row>
    <row customHeight="1" ht="11.25">
      <c r="A40" s="0" t="s">
        <v>16</v>
      </c>
      <c r="B40" s="0" t="s">
        <v>114</v>
      </c>
      <c r="C40" s="0" t="s">
        <v>3417</v>
      </c>
      <c r="D40" s="0" t="s">
        <v>3418</v>
      </c>
      <c r="E40" s="0" t="s">
        <v>3419</v>
      </c>
      <c r="F40" s="0" t="s">
        <v>3360</v>
      </c>
      <c r="G40" s="0" t="s">
        <v>1760</v>
      </c>
    </row>
    <row customHeight="1" ht="11.25">
      <c r="A41" s="0" t="s">
        <v>16</v>
      </c>
      <c r="B41" s="0" t="s">
        <v>114</v>
      </c>
      <c r="C41" s="0" t="s">
        <v>3417</v>
      </c>
      <c r="D41" s="0" t="s">
        <v>3420</v>
      </c>
      <c r="E41" s="0" t="s">
        <v>3421</v>
      </c>
      <c r="F41" s="0" t="s">
        <v>3360</v>
      </c>
      <c r="G41" s="0" t="s">
        <v>1764</v>
      </c>
    </row>
    <row customHeight="1" ht="11.25">
      <c r="A42" s="0" t="s">
        <v>16</v>
      </c>
      <c r="B42" s="0" t="s">
        <v>114</v>
      </c>
      <c r="C42" s="0" t="s">
        <v>3417</v>
      </c>
      <c r="D42" s="0" t="s">
        <v>3422</v>
      </c>
      <c r="E42" s="0" t="s">
        <v>3423</v>
      </c>
      <c r="F42" s="0" t="s">
        <v>3360</v>
      </c>
      <c r="G42" s="0" t="s">
        <v>1767</v>
      </c>
    </row>
    <row customHeight="1" ht="11.25">
      <c r="A43" s="0" t="s">
        <v>16</v>
      </c>
      <c r="B43" s="0" t="s">
        <v>114</v>
      </c>
      <c r="C43" s="0" t="s">
        <v>3417</v>
      </c>
      <c r="D43" s="0" t="s">
        <v>114</v>
      </c>
      <c r="E43" s="0" t="s">
        <v>3417</v>
      </c>
      <c r="F43" s="0" t="s">
        <v>3361</v>
      </c>
      <c r="G43" s="0" t="s">
        <v>1774</v>
      </c>
    </row>
    <row customHeight="1" ht="11.25">
      <c r="A44" s="0" t="s">
        <v>16</v>
      </c>
      <c r="B44" s="0" t="s">
        <v>114</v>
      </c>
      <c r="C44" s="0" t="s">
        <v>3417</v>
      </c>
      <c r="D44" s="0" t="s">
        <v>3424</v>
      </c>
      <c r="E44" s="0" t="s">
        <v>3425</v>
      </c>
      <c r="F44" s="0" t="s">
        <v>3360</v>
      </c>
      <c r="G44" s="0" t="s">
        <v>1783</v>
      </c>
    </row>
    <row customHeight="1" ht="11.25">
      <c r="A45" s="0" t="s">
        <v>16</v>
      </c>
      <c r="B45" s="0" t="s">
        <v>114</v>
      </c>
      <c r="C45" s="0" t="s">
        <v>3417</v>
      </c>
      <c r="D45" s="0" t="s">
        <v>115</v>
      </c>
      <c r="E45" s="0" t="s">
        <v>116</v>
      </c>
      <c r="F45" s="0" t="s">
        <v>3381</v>
      </c>
      <c r="G45" s="0" t="s">
        <v>113</v>
      </c>
    </row>
    <row customHeight="1" ht="11.25">
      <c r="A46" s="0" t="s">
        <v>16</v>
      </c>
      <c r="B46" s="0" t="s">
        <v>114</v>
      </c>
      <c r="C46" s="0" t="s">
        <v>3417</v>
      </c>
      <c r="D46" s="0" t="s">
        <v>3426</v>
      </c>
      <c r="E46" s="0" t="s">
        <v>3427</v>
      </c>
      <c r="F46" s="0" t="s">
        <v>3360</v>
      </c>
      <c r="G46" s="0" t="s">
        <v>1791</v>
      </c>
    </row>
    <row customHeight="1" ht="11.25">
      <c r="A47" s="0" t="s">
        <v>16</v>
      </c>
      <c r="B47" s="0" t="s">
        <v>114</v>
      </c>
      <c r="C47" s="0" t="s">
        <v>3417</v>
      </c>
      <c r="D47" s="0" t="s">
        <v>3428</v>
      </c>
      <c r="E47" s="0" t="s">
        <v>3429</v>
      </c>
      <c r="F47" s="0" t="s">
        <v>3360</v>
      </c>
      <c r="G47" s="0" t="s">
        <v>1797</v>
      </c>
    </row>
    <row customHeight="1" ht="11.25">
      <c r="A48" s="0" t="s">
        <v>16</v>
      </c>
      <c r="B48" s="0" t="s">
        <v>3430</v>
      </c>
      <c r="C48" s="0" t="s">
        <v>3431</v>
      </c>
      <c r="D48" s="0" t="s">
        <v>3430</v>
      </c>
      <c r="E48" s="0" t="s">
        <v>3431</v>
      </c>
      <c r="F48" s="0" t="s">
        <v>3361</v>
      </c>
      <c r="G48" s="0" t="s">
        <v>1801</v>
      </c>
    </row>
    <row customHeight="1" ht="11.25">
      <c r="A49" s="0" t="s">
        <v>16</v>
      </c>
      <c r="B49" s="0" t="s">
        <v>3430</v>
      </c>
      <c r="C49" s="0" t="s">
        <v>3431</v>
      </c>
      <c r="D49" s="0" t="s">
        <v>3432</v>
      </c>
      <c r="E49" s="0" t="s">
        <v>3433</v>
      </c>
      <c r="F49" s="0" t="s">
        <v>3360</v>
      </c>
      <c r="G49" s="0" t="s">
        <v>1804</v>
      </c>
    </row>
    <row customHeight="1" ht="11.25">
      <c r="A50" s="0" t="s">
        <v>16</v>
      </c>
      <c r="B50" s="0" t="s">
        <v>3430</v>
      </c>
      <c r="C50" s="0" t="s">
        <v>3431</v>
      </c>
      <c r="D50" s="0" t="s">
        <v>3434</v>
      </c>
      <c r="E50" s="0" t="s">
        <v>3435</v>
      </c>
      <c r="F50" s="0" t="s">
        <v>3360</v>
      </c>
      <c r="G50" s="0" t="s">
        <v>1808</v>
      </c>
    </row>
    <row customHeight="1" ht="11.25">
      <c r="A51" s="0" t="s">
        <v>16</v>
      </c>
      <c r="B51" s="0" t="s">
        <v>3430</v>
      </c>
      <c r="C51" s="0" t="s">
        <v>3431</v>
      </c>
      <c r="D51" s="0" t="s">
        <v>3436</v>
      </c>
      <c r="E51" s="0" t="s">
        <v>3437</v>
      </c>
      <c r="F51" s="0" t="s">
        <v>3360</v>
      </c>
      <c r="G51" s="0" t="s">
        <v>1812</v>
      </c>
    </row>
    <row customHeight="1" ht="11.25">
      <c r="A52" s="0" t="s">
        <v>16</v>
      </c>
      <c r="B52" s="0" t="s">
        <v>3438</v>
      </c>
      <c r="C52" s="0" t="s">
        <v>3439</v>
      </c>
      <c r="D52" s="0" t="s">
        <v>3438</v>
      </c>
      <c r="E52" s="0" t="s">
        <v>3439</v>
      </c>
      <c r="F52" s="0" t="s">
        <v>3351</v>
      </c>
      <c r="G52" s="0" t="s">
        <v>1816</v>
      </c>
    </row>
    <row customHeight="1" ht="11.25">
      <c r="A53" s="0" t="s">
        <v>16</v>
      </c>
      <c r="B53" s="0" t="s">
        <v>3440</v>
      </c>
      <c r="C53" s="0" t="s">
        <v>3441</v>
      </c>
      <c r="D53" s="0" t="s">
        <v>3440</v>
      </c>
      <c r="E53" s="0" t="s">
        <v>3441</v>
      </c>
      <c r="F53" s="0" t="s">
        <v>3348</v>
      </c>
      <c r="G53" s="0" t="s">
        <v>1818</v>
      </c>
    </row>
    <row customHeight="1" ht="11.25">
      <c r="A54" s="0" t="s">
        <v>16</v>
      </c>
      <c r="B54" s="0" t="s">
        <v>3442</v>
      </c>
      <c r="C54" s="0" t="s">
        <v>3443</v>
      </c>
      <c r="D54" s="0" t="s">
        <v>3442</v>
      </c>
      <c r="E54" s="0" t="s">
        <v>3443</v>
      </c>
      <c r="F54" s="0" t="s">
        <v>3348</v>
      </c>
      <c r="G54" s="0" t="s">
        <v>1821</v>
      </c>
    </row>
    <row customHeight="1" ht="11.25">
      <c r="A55" s="0" t="s">
        <v>16</v>
      </c>
      <c r="B55" s="0" t="s">
        <v>3444</v>
      </c>
      <c r="C55" s="0" t="s">
        <v>3445</v>
      </c>
      <c r="D55" s="0" t="s">
        <v>3444</v>
      </c>
      <c r="E55" s="0" t="s">
        <v>3445</v>
      </c>
      <c r="F55" s="0" t="s">
        <v>3351</v>
      </c>
      <c r="G55" s="0" t="s">
        <v>1826</v>
      </c>
    </row>
    <row customHeight="1" ht="11.25">
      <c r="A56" s="0" t="s">
        <v>16</v>
      </c>
      <c r="B56" s="0" t="s">
        <v>3446</v>
      </c>
      <c r="C56" s="0" t="s">
        <v>3447</v>
      </c>
      <c r="D56" s="0" t="s">
        <v>3446</v>
      </c>
      <c r="E56" s="0" t="s">
        <v>3447</v>
      </c>
      <c r="F56" s="0" t="s">
        <v>3348</v>
      </c>
      <c r="G56" s="0" t="s">
        <v>1829</v>
      </c>
    </row>
    <row customHeight="1" ht="11.25">
      <c r="A57" s="0" t="s">
        <v>16</v>
      </c>
      <c r="B57" s="0" t="s">
        <v>3448</v>
      </c>
      <c r="C57" s="0" t="s">
        <v>3449</v>
      </c>
      <c r="D57" s="0" t="s">
        <v>3450</v>
      </c>
      <c r="E57" s="0" t="s">
        <v>3451</v>
      </c>
      <c r="F57" s="0" t="s">
        <v>3360</v>
      </c>
      <c r="G57" s="0" t="s">
        <v>1832</v>
      </c>
    </row>
    <row customHeight="1" ht="11.25">
      <c r="A58" s="0" t="s">
        <v>16</v>
      </c>
      <c r="B58" s="0" t="s">
        <v>3448</v>
      </c>
      <c r="C58" s="0" t="s">
        <v>3449</v>
      </c>
      <c r="D58" s="0" t="s">
        <v>3452</v>
      </c>
      <c r="E58" s="0" t="s">
        <v>3453</v>
      </c>
      <c r="F58" s="0" t="s">
        <v>3360</v>
      </c>
      <c r="G58" s="0" t="s">
        <v>1835</v>
      </c>
    </row>
    <row customHeight="1" ht="11.25">
      <c r="A59" s="0" t="s">
        <v>16</v>
      </c>
      <c r="B59" s="0" t="s">
        <v>3448</v>
      </c>
      <c r="C59" s="0" t="s">
        <v>3449</v>
      </c>
      <c r="D59" s="0" t="s">
        <v>3454</v>
      </c>
      <c r="E59" s="0" t="s">
        <v>3455</v>
      </c>
      <c r="F59" s="0" t="s">
        <v>3360</v>
      </c>
      <c r="G59" s="0" t="s">
        <v>1839</v>
      </c>
    </row>
    <row customHeight="1" ht="11.25">
      <c r="A60" s="0" t="s">
        <v>16</v>
      </c>
      <c r="B60" s="0" t="s">
        <v>3448</v>
      </c>
      <c r="C60" s="0" t="s">
        <v>3449</v>
      </c>
      <c r="D60" s="0" t="s">
        <v>3456</v>
      </c>
      <c r="E60" s="0" t="s">
        <v>3457</v>
      </c>
      <c r="F60" s="0" t="s">
        <v>3366</v>
      </c>
      <c r="G60" s="0" t="s">
        <v>1842</v>
      </c>
    </row>
    <row customHeight="1" ht="11.25">
      <c r="A61" s="0" t="s">
        <v>16</v>
      </c>
      <c r="B61" s="0" t="s">
        <v>3448</v>
      </c>
      <c r="C61" s="0" t="s">
        <v>3449</v>
      </c>
      <c r="D61" s="0" t="s">
        <v>3458</v>
      </c>
      <c r="E61" s="0" t="s">
        <v>3459</v>
      </c>
      <c r="F61" s="0" t="s">
        <v>3360</v>
      </c>
      <c r="G61" s="0" t="s">
        <v>3460</v>
      </c>
    </row>
    <row customHeight="1" ht="11.25">
      <c r="A62" s="0" t="s">
        <v>16</v>
      </c>
      <c r="B62" s="0" t="s">
        <v>3448</v>
      </c>
      <c r="C62" s="0" t="s">
        <v>3449</v>
      </c>
      <c r="D62" s="0" t="s">
        <v>3461</v>
      </c>
      <c r="E62" s="0" t="s">
        <v>3462</v>
      </c>
      <c r="F62" s="0" t="s">
        <v>3360</v>
      </c>
      <c r="G62" s="0" t="s">
        <v>3463</v>
      </c>
    </row>
    <row customHeight="1" ht="11.25">
      <c r="A63" s="0" t="s">
        <v>16</v>
      </c>
      <c r="B63" s="0" t="s">
        <v>3448</v>
      </c>
      <c r="C63" s="0" t="s">
        <v>3449</v>
      </c>
      <c r="D63" s="0" t="s">
        <v>3448</v>
      </c>
      <c r="E63" s="0" t="s">
        <v>3449</v>
      </c>
      <c r="F63" s="0" t="s">
        <v>3361</v>
      </c>
      <c r="G63" s="0" t="s">
        <v>3464</v>
      </c>
    </row>
    <row customHeight="1" ht="11.25">
      <c r="A64" s="0" t="s">
        <v>16</v>
      </c>
      <c r="B64" s="0" t="s">
        <v>3448</v>
      </c>
      <c r="C64" s="0" t="s">
        <v>3449</v>
      </c>
      <c r="D64" s="0" t="s">
        <v>3465</v>
      </c>
      <c r="E64" s="0" t="s">
        <v>3466</v>
      </c>
      <c r="F64" s="0" t="s">
        <v>3360</v>
      </c>
      <c r="G64" s="0" t="s">
        <v>3467</v>
      </c>
    </row>
    <row customHeight="1" ht="11.25">
      <c r="A65" s="0" t="s">
        <v>16</v>
      </c>
      <c r="B65" s="0" t="s">
        <v>3468</v>
      </c>
      <c r="C65" s="0" t="s">
        <v>3469</v>
      </c>
      <c r="D65" s="0" t="s">
        <v>3468</v>
      </c>
      <c r="E65" s="0" t="s">
        <v>3469</v>
      </c>
      <c r="F65" s="0" t="s">
        <v>3348</v>
      </c>
      <c r="G65" s="0" t="s">
        <v>3470</v>
      </c>
    </row>
    <row customHeight="1" ht="11.25">
      <c r="A66" s="0" t="s">
        <v>16</v>
      </c>
      <c r="B66" s="0" t="s">
        <v>3471</v>
      </c>
      <c r="C66" s="0" t="s">
        <v>3472</v>
      </c>
      <c r="D66" s="0" t="s">
        <v>3471</v>
      </c>
      <c r="E66" s="0" t="s">
        <v>3472</v>
      </c>
      <c r="F66" s="0" t="s">
        <v>3348</v>
      </c>
      <c r="G66" s="0" t="s">
        <v>3473</v>
      </c>
    </row>
    <row customHeight="1" ht="11.25">
      <c r="A67" s="0" t="s">
        <v>16</v>
      </c>
      <c r="B67" s="0" t="s">
        <v>3474</v>
      </c>
      <c r="C67" s="0" t="s">
        <v>3475</v>
      </c>
      <c r="D67" s="0" t="s">
        <v>3476</v>
      </c>
      <c r="E67" s="0" t="s">
        <v>3477</v>
      </c>
      <c r="F67" s="0" t="s">
        <v>3360</v>
      </c>
      <c r="G67" s="0" t="s">
        <v>2161</v>
      </c>
    </row>
    <row customHeight="1" ht="11.25">
      <c r="A68" s="0" t="s">
        <v>16</v>
      </c>
      <c r="B68" s="0" t="s">
        <v>3474</v>
      </c>
      <c r="C68" s="0" t="s">
        <v>3475</v>
      </c>
      <c r="D68" s="0" t="s">
        <v>3478</v>
      </c>
      <c r="E68" s="0" t="s">
        <v>3479</v>
      </c>
      <c r="F68" s="0" t="s">
        <v>3360</v>
      </c>
      <c r="G68" s="0" t="s">
        <v>3480</v>
      </c>
    </row>
    <row customHeight="1" ht="11.25">
      <c r="A69" s="0" t="s">
        <v>16</v>
      </c>
      <c r="B69" s="0" t="s">
        <v>3474</v>
      </c>
      <c r="C69" s="0" t="s">
        <v>3475</v>
      </c>
      <c r="D69" s="0" t="s">
        <v>3481</v>
      </c>
      <c r="E69" s="0" t="s">
        <v>3482</v>
      </c>
      <c r="F69" s="0" t="s">
        <v>3360</v>
      </c>
      <c r="G69" s="0" t="s">
        <v>2364</v>
      </c>
    </row>
    <row customHeight="1" ht="11.25">
      <c r="A70" s="0" t="s">
        <v>16</v>
      </c>
      <c r="B70" s="0" t="s">
        <v>3474</v>
      </c>
      <c r="C70" s="0" t="s">
        <v>3475</v>
      </c>
      <c r="D70" s="0" t="s">
        <v>3483</v>
      </c>
      <c r="E70" s="0" t="s">
        <v>3484</v>
      </c>
      <c r="F70" s="0" t="s">
        <v>3360</v>
      </c>
      <c r="G70" s="0" t="s">
        <v>3485</v>
      </c>
    </row>
    <row customHeight="1" ht="11.25">
      <c r="A71" s="0" t="s">
        <v>16</v>
      </c>
      <c r="B71" s="0" t="s">
        <v>3474</v>
      </c>
      <c r="C71" s="0" t="s">
        <v>3475</v>
      </c>
      <c r="D71" s="0" t="s">
        <v>3486</v>
      </c>
      <c r="E71" s="0" t="s">
        <v>3487</v>
      </c>
      <c r="F71" s="0" t="s">
        <v>3360</v>
      </c>
      <c r="G71" s="0" t="s">
        <v>3488</v>
      </c>
    </row>
    <row customHeight="1" ht="11.25">
      <c r="A72" s="0" t="s">
        <v>16</v>
      </c>
      <c r="B72" s="0" t="s">
        <v>3474</v>
      </c>
      <c r="C72" s="0" t="s">
        <v>3475</v>
      </c>
      <c r="D72" s="0" t="s">
        <v>3474</v>
      </c>
      <c r="E72" s="0" t="s">
        <v>3475</v>
      </c>
      <c r="F72" s="0" t="s">
        <v>3361</v>
      </c>
      <c r="G72" s="0" t="s">
        <v>3489</v>
      </c>
    </row>
    <row customHeight="1" ht="11.25">
      <c r="A73" s="0" t="s">
        <v>16</v>
      </c>
      <c r="B73" s="0" t="s">
        <v>3474</v>
      </c>
      <c r="C73" s="0" t="s">
        <v>3475</v>
      </c>
      <c r="D73" s="0" t="s">
        <v>3490</v>
      </c>
      <c r="E73" s="0" t="s">
        <v>3491</v>
      </c>
      <c r="F73" s="0" t="s">
        <v>3360</v>
      </c>
      <c r="G73" s="0" t="s">
        <v>3492</v>
      </c>
    </row>
    <row customHeight="1" ht="11.25">
      <c r="A74" s="0" t="s">
        <v>16</v>
      </c>
      <c r="B74" s="0" t="s">
        <v>3474</v>
      </c>
      <c r="C74" s="0" t="s">
        <v>3475</v>
      </c>
      <c r="D74" s="0" t="s">
        <v>3493</v>
      </c>
      <c r="E74" s="0" t="s">
        <v>3494</v>
      </c>
      <c r="F74" s="0" t="s">
        <v>3360</v>
      </c>
      <c r="G74" s="0" t="s">
        <v>3495</v>
      </c>
    </row>
    <row customHeight="1" ht="11.25">
      <c r="A75" s="0" t="s">
        <v>16</v>
      </c>
      <c r="B75" s="0" t="s">
        <v>3474</v>
      </c>
      <c r="C75" s="0" t="s">
        <v>3475</v>
      </c>
      <c r="D75" s="0" t="s">
        <v>3496</v>
      </c>
      <c r="E75" s="0" t="s">
        <v>3497</v>
      </c>
      <c r="F75" s="0" t="s">
        <v>3360</v>
      </c>
      <c r="G75" s="0" t="s">
        <v>3498</v>
      </c>
    </row>
    <row customHeight="1" ht="11.25">
      <c r="A76" s="0" t="s">
        <v>16</v>
      </c>
      <c r="B76" s="0" t="s">
        <v>3499</v>
      </c>
      <c r="C76" s="0" t="s">
        <v>3500</v>
      </c>
      <c r="D76" s="0" t="s">
        <v>3499</v>
      </c>
      <c r="E76" s="0" t="s">
        <v>3500</v>
      </c>
      <c r="F76" s="0" t="s">
        <v>3348</v>
      </c>
      <c r="G76" s="0" t="s">
        <v>3501</v>
      </c>
    </row>
    <row customHeight="1" ht="11.25">
      <c r="A77" s="0" t="s">
        <v>16</v>
      </c>
      <c r="B77" s="0" t="s">
        <v>3502</v>
      </c>
      <c r="C77" s="0" t="s">
        <v>3503</v>
      </c>
      <c r="D77" s="0" t="s">
        <v>3502</v>
      </c>
      <c r="E77" s="0" t="s">
        <v>3503</v>
      </c>
      <c r="F77" s="0" t="s">
        <v>3351</v>
      </c>
      <c r="G77" s="0" t="s">
        <v>3504</v>
      </c>
    </row>
    <row customHeight="1" ht="11.25">
      <c r="A78" s="0" t="s">
        <v>16</v>
      </c>
      <c r="B78" s="0" t="s">
        <v>3505</v>
      </c>
      <c r="C78" s="0" t="s">
        <v>3506</v>
      </c>
      <c r="D78" s="0" t="s">
        <v>3505</v>
      </c>
      <c r="E78" s="0" t="s">
        <v>3506</v>
      </c>
      <c r="F78" s="0" t="s">
        <v>3348</v>
      </c>
      <c r="G78" s="0" t="s">
        <v>3507</v>
      </c>
    </row>
    <row customHeight="1" ht="11.25">
      <c r="A79" s="0" t="s">
        <v>16</v>
      </c>
      <c r="B79" s="0" t="s">
        <v>124</v>
      </c>
      <c r="C79" s="0" t="s">
        <v>125</v>
      </c>
      <c r="D79" s="0" t="s">
        <v>124</v>
      </c>
      <c r="E79" s="0" t="s">
        <v>125</v>
      </c>
      <c r="F79" s="0" t="s">
        <v>3348</v>
      </c>
      <c r="G79" s="0" t="s">
        <v>123</v>
      </c>
    </row>
    <row customHeight="1" ht="11.25">
      <c r="A80" s="0" t="s">
        <v>16</v>
      </c>
      <c r="B80" s="0" t="s">
        <v>3508</v>
      </c>
      <c r="C80" s="0" t="s">
        <v>3509</v>
      </c>
      <c r="D80" s="0" t="s">
        <v>3508</v>
      </c>
      <c r="E80" s="0" t="s">
        <v>3509</v>
      </c>
      <c r="F80" s="0" t="s">
        <v>3348</v>
      </c>
      <c r="G80" s="0" t="s">
        <v>3510</v>
      </c>
    </row>
    <row customHeight="1" ht="11.25">
      <c r="A81" s="0" t="s">
        <v>16</v>
      </c>
      <c r="B81" s="0" t="s">
        <v>3511</v>
      </c>
      <c r="C81" s="0" t="s">
        <v>3512</v>
      </c>
      <c r="D81" s="0" t="s">
        <v>3511</v>
      </c>
      <c r="E81" s="0" t="s">
        <v>3512</v>
      </c>
      <c r="F81" s="0" t="s">
        <v>3348</v>
      </c>
      <c r="G81" s="0" t="s">
        <v>3513</v>
      </c>
    </row>
    <row customHeight="1" ht="11.25">
      <c r="A82" s="0" t="s">
        <v>16</v>
      </c>
      <c r="B82" s="0" t="s">
        <v>128</v>
      </c>
      <c r="C82" s="0" t="s">
        <v>3514</v>
      </c>
      <c r="D82" s="0" t="s">
        <v>3515</v>
      </c>
      <c r="E82" s="0" t="s">
        <v>3516</v>
      </c>
      <c r="F82" s="0" t="s">
        <v>3366</v>
      </c>
      <c r="G82" s="0" t="s">
        <v>3517</v>
      </c>
    </row>
    <row customHeight="1" ht="11.25">
      <c r="A83" s="0" t="s">
        <v>16</v>
      </c>
      <c r="B83" s="0" t="s">
        <v>128</v>
      </c>
      <c r="C83" s="0" t="s">
        <v>3514</v>
      </c>
      <c r="D83" s="0" t="s">
        <v>133</v>
      </c>
      <c r="E83" s="0" t="s">
        <v>134</v>
      </c>
      <c r="F83" s="0" t="s">
        <v>3360</v>
      </c>
      <c r="G83" s="0" t="s">
        <v>132</v>
      </c>
    </row>
    <row customHeight="1" ht="11.25">
      <c r="A84" s="0" t="s">
        <v>16</v>
      </c>
      <c r="B84" s="0" t="s">
        <v>128</v>
      </c>
      <c r="C84" s="0" t="s">
        <v>3514</v>
      </c>
      <c r="D84" s="0" t="s">
        <v>3518</v>
      </c>
      <c r="E84" s="0" t="s">
        <v>3519</v>
      </c>
      <c r="F84" s="0" t="s">
        <v>3381</v>
      </c>
      <c r="G84" s="0" t="s">
        <v>3520</v>
      </c>
    </row>
    <row customHeight="1" ht="11.25">
      <c r="A85" s="0" t="s">
        <v>16</v>
      </c>
      <c r="B85" s="0" t="s">
        <v>128</v>
      </c>
      <c r="C85" s="0" t="s">
        <v>3514</v>
      </c>
      <c r="D85" s="0" t="s">
        <v>138</v>
      </c>
      <c r="E85" s="0" t="s">
        <v>139</v>
      </c>
      <c r="F85" s="0" t="s">
        <v>3360</v>
      </c>
      <c r="G85" s="0" t="s">
        <v>137</v>
      </c>
    </row>
    <row customHeight="1" ht="11.25">
      <c r="A86" s="0" t="s">
        <v>16</v>
      </c>
      <c r="B86" s="0" t="s">
        <v>128</v>
      </c>
      <c r="C86" s="0" t="s">
        <v>3514</v>
      </c>
      <c r="D86" s="0" t="s">
        <v>128</v>
      </c>
      <c r="E86" s="0" t="s">
        <v>3514</v>
      </c>
      <c r="F86" s="0" t="s">
        <v>3361</v>
      </c>
      <c r="G86" s="0" t="s">
        <v>3521</v>
      </c>
    </row>
    <row customHeight="1" ht="11.25">
      <c r="A87" s="0" t="s">
        <v>16</v>
      </c>
      <c r="B87" s="0" t="s">
        <v>128</v>
      </c>
      <c r="C87" s="0" t="s">
        <v>3514</v>
      </c>
      <c r="D87" s="0" t="s">
        <v>143</v>
      </c>
      <c r="E87" s="0" t="s">
        <v>144</v>
      </c>
      <c r="F87" s="0" t="s">
        <v>3360</v>
      </c>
      <c r="G87" s="0" t="s">
        <v>142</v>
      </c>
    </row>
    <row customHeight="1" ht="11.25">
      <c r="A88" s="0" t="s">
        <v>16</v>
      </c>
      <c r="B88" s="0" t="s">
        <v>3522</v>
      </c>
      <c r="C88" s="0" t="s">
        <v>3523</v>
      </c>
      <c r="D88" s="0" t="s">
        <v>3522</v>
      </c>
      <c r="E88" s="0" t="s">
        <v>3523</v>
      </c>
      <c r="F88" s="0" t="s">
        <v>3348</v>
      </c>
      <c r="G88" s="0" t="s">
        <v>3524</v>
      </c>
    </row>
    <row customHeight="1" ht="11.25">
      <c r="A89" s="0" t="s">
        <v>16</v>
      </c>
      <c r="B89" s="0" t="s">
        <v>154</v>
      </c>
      <c r="C89" s="0" t="s">
        <v>155</v>
      </c>
      <c r="D89" s="0" t="s">
        <v>154</v>
      </c>
      <c r="E89" s="0" t="s">
        <v>155</v>
      </c>
      <c r="F89" s="0" t="s">
        <v>3348</v>
      </c>
      <c r="G89" s="0" t="s">
        <v>153</v>
      </c>
    </row>
    <row customHeight="1" ht="11.25">
      <c r="A90" s="0" t="s">
        <v>16</v>
      </c>
      <c r="B90" s="0" t="s">
        <v>148</v>
      </c>
      <c r="C90" s="0" t="s">
        <v>3525</v>
      </c>
      <c r="D90" s="0" t="s">
        <v>3526</v>
      </c>
      <c r="E90" s="0" t="s">
        <v>3527</v>
      </c>
      <c r="F90" s="0" t="s">
        <v>3360</v>
      </c>
      <c r="G90" s="0" t="s">
        <v>3528</v>
      </c>
    </row>
    <row customHeight="1" ht="11.25">
      <c r="A91" s="0" t="s">
        <v>16</v>
      </c>
      <c r="B91" s="0" t="s">
        <v>148</v>
      </c>
      <c r="C91" s="0" t="s">
        <v>3525</v>
      </c>
      <c r="D91" s="0" t="s">
        <v>3529</v>
      </c>
      <c r="E91" s="0" t="s">
        <v>3530</v>
      </c>
      <c r="F91" s="0" t="s">
        <v>3360</v>
      </c>
      <c r="G91" s="0" t="s">
        <v>3531</v>
      </c>
    </row>
    <row customHeight="1" ht="11.25">
      <c r="A92" s="0" t="s">
        <v>16</v>
      </c>
      <c r="B92" s="0" t="s">
        <v>148</v>
      </c>
      <c r="C92" s="0" t="s">
        <v>3525</v>
      </c>
      <c r="D92" s="0" t="s">
        <v>149</v>
      </c>
      <c r="E92" s="0" t="s">
        <v>150</v>
      </c>
      <c r="F92" s="0" t="s">
        <v>3360</v>
      </c>
      <c r="G92" s="0" t="s">
        <v>147</v>
      </c>
    </row>
    <row customHeight="1" ht="11.25">
      <c r="A93" s="0" t="s">
        <v>16</v>
      </c>
      <c r="B93" s="0" t="s">
        <v>148</v>
      </c>
      <c r="C93" s="0" t="s">
        <v>3525</v>
      </c>
      <c r="D93" s="0" t="s">
        <v>3532</v>
      </c>
      <c r="E93" s="0" t="s">
        <v>3533</v>
      </c>
      <c r="F93" s="0" t="s">
        <v>3381</v>
      </c>
      <c r="G93" s="0" t="s">
        <v>3534</v>
      </c>
    </row>
    <row customHeight="1" ht="11.25">
      <c r="A94" s="0" t="s">
        <v>16</v>
      </c>
      <c r="B94" s="0" t="s">
        <v>148</v>
      </c>
      <c r="C94" s="0" t="s">
        <v>3525</v>
      </c>
      <c r="D94" s="0" t="s">
        <v>3535</v>
      </c>
      <c r="E94" s="0" t="s">
        <v>3536</v>
      </c>
      <c r="F94" s="0" t="s">
        <v>3360</v>
      </c>
      <c r="G94" s="0" t="s">
        <v>3537</v>
      </c>
    </row>
    <row customHeight="1" ht="11.25">
      <c r="A95" s="0" t="s">
        <v>16</v>
      </c>
      <c r="B95" s="0" t="s">
        <v>148</v>
      </c>
      <c r="C95" s="0" t="s">
        <v>3525</v>
      </c>
      <c r="D95" s="0" t="s">
        <v>148</v>
      </c>
      <c r="E95" s="0" t="s">
        <v>3525</v>
      </c>
      <c r="F95" s="0" t="s">
        <v>3361</v>
      </c>
      <c r="G95" s="0" t="s">
        <v>3538</v>
      </c>
    </row>
    <row customHeight="1" ht="11.25">
      <c r="A96" s="0" t="s">
        <v>16</v>
      </c>
      <c r="B96" s="0" t="s">
        <v>148</v>
      </c>
      <c r="C96" s="0" t="s">
        <v>3525</v>
      </c>
      <c r="D96" s="0" t="s">
        <v>3539</v>
      </c>
      <c r="E96" s="0" t="s">
        <v>3540</v>
      </c>
      <c r="F96" s="0" t="s">
        <v>3381</v>
      </c>
      <c r="G96" s="0" t="s">
        <v>3541</v>
      </c>
    </row>
    <row customHeight="1" ht="11.25">
      <c r="A97" s="0" t="s">
        <v>16</v>
      </c>
      <c r="B97" s="0" t="s">
        <v>148</v>
      </c>
      <c r="C97" s="0" t="s">
        <v>3525</v>
      </c>
      <c r="D97" s="0" t="s">
        <v>3542</v>
      </c>
      <c r="E97" s="0" t="s">
        <v>3543</v>
      </c>
      <c r="F97" s="0" t="s">
        <v>3360</v>
      </c>
      <c r="G97" s="0" t="s">
        <v>3544</v>
      </c>
    </row>
    <row customHeight="1" ht="11.25">
      <c r="A98" s="0" t="s">
        <v>16</v>
      </c>
      <c r="B98" s="0" t="s">
        <v>3545</v>
      </c>
      <c r="C98" s="0" t="s">
        <v>3546</v>
      </c>
      <c r="D98" s="0" t="s">
        <v>3545</v>
      </c>
      <c r="E98" s="0" t="s">
        <v>3546</v>
      </c>
      <c r="F98" s="0" t="s">
        <v>3348</v>
      </c>
      <c r="G98" s="0" t="s">
        <v>3547</v>
      </c>
    </row>
    <row customHeight="1" ht="11.25">
      <c r="A99" s="0" t="s">
        <v>16</v>
      </c>
      <c r="B99" s="0" t="s">
        <v>3548</v>
      </c>
      <c r="C99" s="0" t="s">
        <v>3549</v>
      </c>
      <c r="D99" s="0" t="s">
        <v>3550</v>
      </c>
      <c r="E99" s="0" t="s">
        <v>3551</v>
      </c>
      <c r="F99" s="0" t="s">
        <v>3360</v>
      </c>
      <c r="G99" s="0" t="s">
        <v>3552</v>
      </c>
    </row>
    <row customHeight="1" ht="11.25">
      <c r="A100" s="0" t="s">
        <v>16</v>
      </c>
      <c r="B100" s="0" t="s">
        <v>3548</v>
      </c>
      <c r="C100" s="0" t="s">
        <v>3549</v>
      </c>
      <c r="D100" s="0" t="s">
        <v>3553</v>
      </c>
      <c r="E100" s="0" t="s">
        <v>3554</v>
      </c>
      <c r="F100" s="0" t="s">
        <v>3360</v>
      </c>
      <c r="G100" s="0" t="s">
        <v>3555</v>
      </c>
    </row>
    <row customHeight="1" ht="11.25">
      <c r="A101" s="0" t="s">
        <v>16</v>
      </c>
      <c r="B101" s="0" t="s">
        <v>3548</v>
      </c>
      <c r="C101" s="0" t="s">
        <v>3549</v>
      </c>
      <c r="D101" s="0" t="s">
        <v>3556</v>
      </c>
      <c r="E101" s="0" t="s">
        <v>3557</v>
      </c>
      <c r="F101" s="0" t="s">
        <v>3360</v>
      </c>
      <c r="G101" s="0" t="s">
        <v>3558</v>
      </c>
    </row>
    <row customHeight="1" ht="11.25">
      <c r="A102" s="0" t="s">
        <v>16</v>
      </c>
      <c r="B102" s="0" t="s">
        <v>3548</v>
      </c>
      <c r="C102" s="0" t="s">
        <v>3549</v>
      </c>
      <c r="D102" s="0" t="s">
        <v>3559</v>
      </c>
      <c r="E102" s="0" t="s">
        <v>3560</v>
      </c>
      <c r="F102" s="0" t="s">
        <v>3360</v>
      </c>
      <c r="G102" s="0" t="s">
        <v>3561</v>
      </c>
    </row>
    <row customHeight="1" ht="11.25">
      <c r="A103" s="0" t="s">
        <v>16</v>
      </c>
      <c r="B103" s="0" t="s">
        <v>3548</v>
      </c>
      <c r="C103" s="0" t="s">
        <v>3549</v>
      </c>
      <c r="D103" s="0" t="s">
        <v>3548</v>
      </c>
      <c r="E103" s="0" t="s">
        <v>3549</v>
      </c>
      <c r="F103" s="0" t="s">
        <v>3361</v>
      </c>
      <c r="G103" s="0" t="s">
        <v>3562</v>
      </c>
    </row>
    <row customHeight="1" ht="11.25">
      <c r="A104" s="0" t="s">
        <v>16</v>
      </c>
      <c r="B104" s="0" t="s">
        <v>3548</v>
      </c>
      <c r="C104" s="0" t="s">
        <v>3549</v>
      </c>
      <c r="D104" s="0" t="s">
        <v>3563</v>
      </c>
      <c r="E104" s="0" t="s">
        <v>3564</v>
      </c>
      <c r="F104" s="0" t="s">
        <v>3360</v>
      </c>
      <c r="G104" s="0" t="s">
        <v>3565</v>
      </c>
    </row>
    <row customHeight="1" ht="11.25">
      <c r="A105" s="0" t="s">
        <v>16</v>
      </c>
      <c r="B105" s="0" t="s">
        <v>3566</v>
      </c>
      <c r="C105" s="0" t="s">
        <v>3567</v>
      </c>
      <c r="D105" s="0" t="s">
        <v>3566</v>
      </c>
      <c r="E105" s="0" t="s">
        <v>3567</v>
      </c>
      <c r="F105" s="0" t="s">
        <v>3351</v>
      </c>
      <c r="G105" s="0" t="s">
        <v>3568</v>
      </c>
    </row>
    <row customHeight="1" ht="11.25">
      <c r="A106" s="0" t="s">
        <v>16</v>
      </c>
      <c r="B106" s="0" t="s">
        <v>171</v>
      </c>
      <c r="C106" s="0" t="s">
        <v>172</v>
      </c>
      <c r="D106" s="0" t="s">
        <v>171</v>
      </c>
      <c r="E106" s="0" t="s">
        <v>172</v>
      </c>
      <c r="F106" s="0" t="s">
        <v>3351</v>
      </c>
      <c r="G106" s="0" t="s">
        <v>170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F2B4E5-8A8C-2DF4-5BD2-98B77AE8E13A}"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61571" width="9.140625"/>
    <col min="2" max="2" style="61571" width="84.28125" customWidth="1"/>
    <col min="3" max="3" style="61571" width="9.140625"/>
  </cols>
  <sheetData>
    <row customHeight="1" ht="11.25">
      <c r="A1" s="1347" t="s">
        <v>3644</v>
      </c>
      <c r="B1" s="1347" t="s">
        <v>3645</v>
      </c>
      <c r="C1" s="1347" t="s">
        <v>1308</v>
      </c>
    </row>
    <row customHeight="1" ht="11.25">
      <c r="A2" s="1347">
        <v>4189678</v>
      </c>
      <c r="B2" s="1347" t="s">
        <v>3646</v>
      </c>
      <c r="C2" s="1347" t="s">
        <v>3647</v>
      </c>
    </row>
    <row customHeight="1" ht="11.25">
      <c r="A3" s="1347">
        <v>4190415</v>
      </c>
      <c r="B3" s="1347" t="s">
        <v>3648</v>
      </c>
      <c r="C3" s="1347" t="s">
        <v>3647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8FC175-F743-B338-B4A1-90EF40D26B5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61576" width="38.421875" customWidth="1"/>
    <col min="2" max="5" style="61576" width="9.140625"/>
  </cols>
  <sheetData>
    <row customHeight="1" ht="15">
      <c r="A1" s="675" t="s">
        <v>3649</v>
      </c>
      <c r="B1" s="675" t="s">
        <v>3650</v>
      </c>
      <c r="C1" s="675"/>
      <c r="D1" s="675"/>
      <c r="E1" s="675"/>
    </row>
    <row customHeight="1" ht="15">
      <c r="A2" s="675"/>
      <c r="B2" s="675"/>
      <c r="C2" s="675"/>
      <c r="D2" s="675"/>
      <c r="E2" s="675"/>
    </row>
    <row customHeight="1" ht="15">
      <c r="A3" s="675"/>
      <c r="B3" s="675"/>
      <c r="C3" s="675"/>
      <c r="D3" s="675"/>
      <c r="E3" s="675"/>
    </row>
    <row customHeight="1" ht="15">
      <c r="A4" s="675"/>
      <c r="B4" s="675"/>
      <c r="C4" s="675"/>
      <c r="D4" s="675"/>
      <c r="E4" s="675"/>
    </row>
    <row customHeight="1" ht="15">
      <c r="A5" s="675"/>
      <c r="B5" s="675"/>
      <c r="C5" s="675"/>
      <c r="D5" s="675"/>
      <c r="E5" s="675"/>
    </row>
    <row customHeight="1" ht="15">
      <c r="A6" s="675"/>
      <c r="B6" s="675"/>
      <c r="C6" s="675"/>
      <c r="D6" s="675"/>
      <c r="E6" s="675"/>
    </row>
    <row customHeight="1" ht="15">
      <c r="A7" s="675"/>
      <c r="B7" s="675"/>
      <c r="C7" s="675"/>
      <c r="D7" s="675"/>
      <c r="E7" s="675"/>
    </row>
    <row customHeight="1" ht="15">
      <c r="A8" s="675"/>
      <c r="B8" s="675"/>
      <c r="C8" s="675"/>
      <c r="D8" s="675"/>
      <c r="E8" s="67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D6C966-A822-1184-E217-354D88FB4AE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3651</v>
      </c>
      <c r="B1" s="0" t="b">
        <v>1</v>
      </c>
    </row>
    <row customHeight="1" ht="11.25">
      <c r="A2" s="0" t="s">
        <v>3652</v>
      </c>
      <c r="B2" s="0" t="b">
        <v>0</v>
      </c>
    </row>
    <row customHeight="1" ht="11.25">
      <c r="A3" s="0" t="s">
        <v>3653</v>
      </c>
      <c r="B3" s="0" t="b">
        <v>0</v>
      </c>
    </row>
    <row customHeight="1" ht="11.25">
      <c r="A4" s="0" t="s">
        <v>3654</v>
      </c>
      <c r="B4" s="0" t="b">
        <v>1</v>
      </c>
    </row>
    <row customHeight="1" ht="11.25">
      <c r="A5" s="0" t="s">
        <v>3655</v>
      </c>
      <c r="B5" s="0" t="b">
        <v>0</v>
      </c>
    </row>
    <row customHeight="1" ht="11.25">
      <c r="A6" s="0" t="s">
        <v>3656</v>
      </c>
      <c r="B6" s="0" t="b">
        <v>0</v>
      </c>
    </row>
    <row customHeight="1" ht="11.25">
      <c r="A7" s="0" t="s">
        <v>3657</v>
      </c>
      <c r="B7" s="0" t="b">
        <v>0</v>
      </c>
    </row>
    <row customHeight="1" ht="11.25">
      <c r="A8" s="0" t="s">
        <v>3658</v>
      </c>
      <c r="B8" s="0" t="b">
        <v>0</v>
      </c>
    </row>
    <row customHeight="1" ht="11.25">
      <c r="A9" s="0" t="s">
        <v>3659</v>
      </c>
      <c r="B9" s="0" t="b">
        <v>1</v>
      </c>
    </row>
    <row customHeight="1" ht="11.25">
      <c r="A10" s="0" t="s">
        <v>3660</v>
      </c>
      <c r="B10" s="0" t="b">
        <v>0</v>
      </c>
    </row>
    <row customHeight="1" ht="11.25">
      <c r="A11" s="0" t="s">
        <v>3661</v>
      </c>
      <c r="B11" s="0" t="b">
        <v>0</v>
      </c>
    </row>
    <row customHeight="1" ht="11.25">
      <c r="A12" s="0" t="s">
        <v>3662</v>
      </c>
      <c r="B12" s="0" t="b">
        <v>0</v>
      </c>
    </row>
    <row customHeight="1" ht="11.25">
      <c r="A13" s="0" t="s">
        <v>3663</v>
      </c>
      <c r="B13" s="0" t="b">
        <v>0</v>
      </c>
    </row>
    <row customHeight="1" ht="11.25">
      <c r="A14" s="0" t="s">
        <v>3664</v>
      </c>
      <c r="B14" s="0" t="b">
        <v>0</v>
      </c>
    </row>
    <row customHeight="1" ht="11.25">
      <c r="A15" s="0" t="s">
        <v>3665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2B81A9-DC74-549E-5CF6-ABC17E62326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0757" width="9.140625"/>
  </cols>
  <sheetData>
    <row customHeight="1" ht="12.75">
      <c r="A1" s="575"/>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65E493-F729-FE1F-A80B-2E946AE535F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50942" width="36.28125" customWidth="1"/>
    <col min="2" max="2" style="50942" width="21.140625" customWidth="1"/>
  </cols>
  <sheetData>
    <row customHeight="1" ht="11.25">
      <c r="A1" s="579" t="s">
        <v>3666</v>
      </c>
      <c r="B1" s="579" t="s">
        <v>3667</v>
      </c>
    </row>
    <row customHeight="1" ht="11.25">
      <c r="A2" s="574" t="s">
        <v>3668</v>
      </c>
      <c r="B2" s="574" t="s">
        <v>3669</v>
      </c>
    </row>
    <row customHeight="1" ht="11.25">
      <c r="A3" s="574" t="s">
        <v>3670</v>
      </c>
      <c r="B3" s="574" t="s">
        <v>3671</v>
      </c>
    </row>
    <row customHeight="1" ht="11.25">
      <c r="A4" s="574" t="s">
        <v>3672</v>
      </c>
      <c r="B4" s="574" t="s">
        <v>3673</v>
      </c>
    </row>
    <row customHeight="1" ht="11.25">
      <c r="A5" s="574" t="s">
        <v>3674</v>
      </c>
      <c r="B5" s="574" t="s">
        <v>3675</v>
      </c>
    </row>
    <row customHeight="1" ht="11.25">
      <c r="A6" s="574" t="s">
        <v>3676</v>
      </c>
      <c r="B6" s="574" t="s">
        <v>3677</v>
      </c>
    </row>
    <row customHeight="1" ht="11.25">
      <c r="A7" s="574" t="s">
        <v>3678</v>
      </c>
      <c r="B7" s="574" t="s">
        <v>3679</v>
      </c>
    </row>
    <row customHeight="1" ht="11.25">
      <c r="A8" s="574" t="s">
        <v>3680</v>
      </c>
      <c r="B8" s="574" t="s">
        <v>3681</v>
      </c>
    </row>
    <row customHeight="1" ht="11.25">
      <c r="A9" s="574" t="s">
        <v>3682</v>
      </c>
      <c r="B9" s="574" t="s">
        <v>3683</v>
      </c>
    </row>
    <row customHeight="1" ht="11.25">
      <c r="A10" s="574" t="s">
        <v>3684</v>
      </c>
      <c r="B10" s="574" t="s">
        <v>3685</v>
      </c>
    </row>
    <row customHeight="1" ht="11.25">
      <c r="A11" s="574" t="s">
        <v>3686</v>
      </c>
      <c r="B11" s="574" t="s">
        <v>3687</v>
      </c>
    </row>
    <row customHeight="1" ht="11.25">
      <c r="A12" s="574" t="s">
        <v>3688</v>
      </c>
      <c r="B12" s="574" t="s">
        <v>3689</v>
      </c>
    </row>
    <row customHeight="1" ht="11.25">
      <c r="A13" s="574" t="s">
        <v>3690</v>
      </c>
      <c r="B13" s="574" t="s">
        <v>3691</v>
      </c>
    </row>
    <row customHeight="1" ht="11.25">
      <c r="A14" s="574" t="s">
        <v>3692</v>
      </c>
      <c r="B14" s="574" t="s">
        <v>3693</v>
      </c>
    </row>
    <row customHeight="1" ht="11.25">
      <c r="A15" s="574" t="s">
        <v>3694</v>
      </c>
      <c r="B15" s="574" t="s">
        <v>3695</v>
      </c>
    </row>
    <row customHeight="1" ht="11.25">
      <c r="A16" s="574" t="s">
        <v>3696</v>
      </c>
      <c r="B16" s="574" t="s">
        <v>3697</v>
      </c>
    </row>
    <row customHeight="1" ht="11.25">
      <c r="A17" s="574" t="s">
        <v>3698</v>
      </c>
      <c r="B17" s="574" t="s">
        <v>3699</v>
      </c>
    </row>
    <row customHeight="1" ht="11.25">
      <c r="A18" s="574" t="s">
        <v>3700</v>
      </c>
      <c r="B18" s="574" t="s">
        <v>3701</v>
      </c>
    </row>
    <row customHeight="1" ht="11.25">
      <c r="A19" s="574" t="s">
        <v>3702</v>
      </c>
      <c r="B19" s="574" t="s">
        <v>3703</v>
      </c>
    </row>
    <row customHeight="1" ht="11.25">
      <c r="A20" s="574" t="s">
        <v>3704</v>
      </c>
      <c r="B20" s="574" t="s">
        <v>3705</v>
      </c>
    </row>
    <row customHeight="1" ht="11.25">
      <c r="A21" s="574" t="s">
        <v>3706</v>
      </c>
      <c r="B21" s="574" t="s">
        <v>3707</v>
      </c>
    </row>
    <row customHeight="1" ht="11.25">
      <c r="A22" s="574" t="s">
        <v>3708</v>
      </c>
      <c r="B22" s="574" t="s">
        <v>3709</v>
      </c>
    </row>
    <row customHeight="1" ht="11.25">
      <c r="A23" s="574" t="s">
        <v>3710</v>
      </c>
      <c r="B23" s="574" t="s">
        <v>3711</v>
      </c>
    </row>
    <row customHeight="1" ht="11.25">
      <c r="A24" s="574" t="s">
        <v>3712</v>
      </c>
      <c r="B24" s="574" t="s">
        <v>3713</v>
      </c>
    </row>
    <row customHeight="1" ht="11.25">
      <c r="A25" s="574" t="s">
        <v>3714</v>
      </c>
      <c r="B25" s="574" t="s">
        <v>3715</v>
      </c>
    </row>
    <row customHeight="1" ht="11.25">
      <c r="A26" s="574" t="s">
        <v>3716</v>
      </c>
      <c r="B26" s="574" t="s">
        <v>3717</v>
      </c>
    </row>
    <row customHeight="1" ht="11.25">
      <c r="A27" s="574" t="s">
        <v>3718</v>
      </c>
      <c r="B27" s="574" t="s">
        <v>3719</v>
      </c>
    </row>
    <row customHeight="1" ht="11.25">
      <c r="A28" s="574" t="s">
        <v>3720</v>
      </c>
      <c r="B28" s="574" t="s">
        <v>3721</v>
      </c>
    </row>
    <row customHeight="1" ht="11.25">
      <c r="A29" s="574" t="s">
        <v>3722</v>
      </c>
      <c r="B29" s="574" t="s">
        <v>3723</v>
      </c>
    </row>
    <row customHeight="1" ht="11.25">
      <c r="A30" s="574" t="s">
        <v>3724</v>
      </c>
      <c r="B30" s="574" t="s">
        <v>3725</v>
      </c>
    </row>
    <row customHeight="1" ht="11.25">
      <c r="A31" s="574" t="s">
        <v>3726</v>
      </c>
      <c r="B31" s="574" t="s">
        <v>3727</v>
      </c>
    </row>
    <row customHeight="1" ht="11.25">
      <c r="A32" s="574" t="s">
        <v>3728</v>
      </c>
      <c r="B32" s="574" t="s">
        <v>3729</v>
      </c>
    </row>
    <row customHeight="1" ht="11.25">
      <c r="A33" s="574" t="s">
        <v>3730</v>
      </c>
      <c r="B33" s="574" t="s">
        <v>3731</v>
      </c>
    </row>
    <row customHeight="1" ht="11.25">
      <c r="A34" s="574" t="s">
        <v>3732</v>
      </c>
      <c r="B34" s="574" t="s">
        <v>3733</v>
      </c>
    </row>
    <row customHeight="1" ht="11.25">
      <c r="A35" s="574" t="s">
        <v>3734</v>
      </c>
      <c r="B35" s="574" t="s">
        <v>3735</v>
      </c>
    </row>
    <row customHeight="1" ht="11.25">
      <c r="A36" s="574" t="s">
        <v>3736</v>
      </c>
      <c r="B36" s="574" t="s">
        <v>3737</v>
      </c>
    </row>
    <row customHeight="1" ht="11.25">
      <c r="A37" s="574" t="s">
        <v>3738</v>
      </c>
      <c r="B37" s="574" t="s">
        <v>3739</v>
      </c>
    </row>
    <row customHeight="1" ht="11.25">
      <c r="A38" s="574" t="s">
        <v>3740</v>
      </c>
      <c r="B38" s="574" t="s">
        <v>3741</v>
      </c>
    </row>
    <row customHeight="1" ht="11.25">
      <c r="A39" s="574" t="s">
        <v>3742</v>
      </c>
      <c r="B39" s="574" t="s">
        <v>3743</v>
      </c>
    </row>
    <row customHeight="1" ht="11.25">
      <c r="A40" s="574" t="s">
        <v>3744</v>
      </c>
      <c r="B40" s="574" t="s">
        <v>3745</v>
      </c>
    </row>
    <row customHeight="1" ht="11.25">
      <c r="A41" s="574" t="s">
        <v>3746</v>
      </c>
      <c r="B41" s="574" t="s">
        <v>3747</v>
      </c>
    </row>
    <row customHeight="1" ht="11.25">
      <c r="A42" s="574" t="s">
        <v>3748</v>
      </c>
      <c r="B42" s="574" t="s">
        <v>3749</v>
      </c>
    </row>
    <row customHeight="1" ht="11.25">
      <c r="A43" s="574" t="s">
        <v>3750</v>
      </c>
      <c r="B43" s="574" t="s">
        <v>3751</v>
      </c>
    </row>
    <row customHeight="1" ht="11.25">
      <c r="A44" s="574" t="s">
        <v>3752</v>
      </c>
      <c r="B44" s="574" t="s">
        <v>3753</v>
      </c>
    </row>
    <row customHeight="1" ht="11.25">
      <c r="A45" s="574" t="s">
        <v>3754</v>
      </c>
      <c r="B45" s="574" t="s">
        <v>3755</v>
      </c>
    </row>
    <row customHeight="1" ht="11.25">
      <c r="A46" s="574" t="s">
        <v>3756</v>
      </c>
      <c r="B46" s="574" t="s">
        <v>3757</v>
      </c>
    </row>
    <row customHeight="1" ht="11.25">
      <c r="A47" s="574" t="s">
        <v>3758</v>
      </c>
      <c r="B47" s="574" t="s">
        <v>3759</v>
      </c>
    </row>
    <row customHeight="1" ht="11.25">
      <c r="A48" s="574" t="s">
        <v>3760</v>
      </c>
      <c r="B48" s="574" t="s">
        <v>3761</v>
      </c>
    </row>
    <row customHeight="1" ht="11.25">
      <c r="A49" s="574" t="s">
        <v>3762</v>
      </c>
      <c r="B49" s="574" t="s">
        <v>3763</v>
      </c>
    </row>
    <row customHeight="1" ht="11.25">
      <c r="A50" s="574" t="s">
        <v>3764</v>
      </c>
      <c r="B50" s="574" t="s">
        <v>3765</v>
      </c>
    </row>
    <row customHeight="1" ht="11.25">
      <c r="A51" s="574" t="s">
        <v>3766</v>
      </c>
      <c r="B51" s="574" t="s">
        <v>3767</v>
      </c>
    </row>
    <row customHeight="1" ht="11.25">
      <c r="A52" s="574" t="s">
        <v>3768</v>
      </c>
      <c r="B52" s="574" t="s">
        <v>3769</v>
      </c>
    </row>
    <row customHeight="1" ht="11.25">
      <c r="A53" s="574" t="s">
        <v>3770</v>
      </c>
      <c r="B53" s="574" t="s">
        <v>3771</v>
      </c>
    </row>
    <row customHeight="1" ht="11.25">
      <c r="A54" s="574" t="s">
        <v>3772</v>
      </c>
      <c r="B54" s="574" t="s">
        <v>3773</v>
      </c>
    </row>
    <row customHeight="1" ht="11.25">
      <c r="A55" s="574" t="s">
        <v>3774</v>
      </c>
      <c r="B55" s="574" t="s">
        <v>3775</v>
      </c>
    </row>
    <row customHeight="1" ht="11.25">
      <c r="A56" s="574" t="s">
        <v>3776</v>
      </c>
      <c r="B56" s="574" t="s">
        <v>3777</v>
      </c>
    </row>
    <row customHeight="1" ht="11.25">
      <c r="A57" s="574" t="s">
        <v>3778</v>
      </c>
      <c r="B57" s="574" t="s">
        <v>3779</v>
      </c>
    </row>
    <row customHeight="1" ht="11.25">
      <c r="A58" s="574" t="s">
        <v>3780</v>
      </c>
      <c r="B58" s="574" t="s">
        <v>3781</v>
      </c>
    </row>
    <row customHeight="1" ht="11.25">
      <c r="A59" s="574" t="s">
        <v>3782</v>
      </c>
      <c r="B59" s="574" t="s">
        <v>3783</v>
      </c>
    </row>
    <row customHeight="1" ht="11.25">
      <c r="A60" s="574" t="s">
        <v>3784</v>
      </c>
      <c r="B60" s="574" t="s">
        <v>3785</v>
      </c>
    </row>
    <row customHeight="1" ht="11.25">
      <c r="A61" s="574"/>
      <c r="B61" s="574" t="s">
        <v>3786</v>
      </c>
    </row>
    <row customHeight="1" ht="11.25">
      <c r="A62" s="574"/>
      <c r="B62" s="574" t="s">
        <v>3787</v>
      </c>
    </row>
    <row customHeight="1" ht="11.25">
      <c r="A63" s="574"/>
      <c r="B63" s="574" t="s">
        <v>3788</v>
      </c>
    </row>
    <row customHeight="1" ht="11.25">
      <c r="A64" s="574"/>
      <c r="B64" s="574" t="s">
        <v>3789</v>
      </c>
    </row>
    <row customHeight="1" ht="11.25">
      <c r="A65" s="574"/>
      <c r="B65" s="574" t="s">
        <v>3790</v>
      </c>
    </row>
    <row customHeight="1" ht="11.25">
      <c r="A66" s="574"/>
      <c r="B66" s="574" t="s">
        <v>3791</v>
      </c>
    </row>
    <row customHeight="1" ht="11.25">
      <c r="A67" s="574"/>
      <c r="B67" s="574" t="s">
        <v>3792</v>
      </c>
    </row>
    <row customHeight="1" ht="11.25">
      <c r="A68" s="574"/>
      <c r="B68" s="574" t="s">
        <v>3793</v>
      </c>
    </row>
    <row customHeight="1" ht="11.25">
      <c r="A69" s="574"/>
      <c r="B69" s="574" t="s">
        <v>3794</v>
      </c>
    </row>
    <row customHeight="1" ht="11.25">
      <c r="A70" s="574"/>
      <c r="B70" s="574" t="s">
        <v>3795</v>
      </c>
    </row>
    <row customHeight="1" ht="11.25">
      <c r="A71" s="574"/>
      <c r="B71" s="574"/>
    </row>
    <row customHeight="1" ht="11.25">
      <c r="A72" s="574"/>
      <c r="B72" s="574"/>
    </row>
    <row customHeight="1" ht="11.25">
      <c r="A73" s="574"/>
      <c r="B73" s="574"/>
    </row>
    <row customHeight="1" ht="11.25">
      <c r="A74" s="574"/>
      <c r="B74" s="574"/>
    </row>
    <row customHeight="1" ht="11.25">
      <c r="A75" s="574"/>
      <c r="B75" s="574"/>
    </row>
    <row customHeight="1" ht="11.25">
      <c r="A76" s="574"/>
      <c r="B76" s="574"/>
    </row>
    <row customHeight="1" ht="11.25">
      <c r="A77" s="574"/>
      <c r="B77" s="574"/>
    </row>
    <row customHeight="1" ht="11.25">
      <c r="A78" s="574"/>
      <c r="B78" s="574"/>
    </row>
    <row customHeight="1" ht="11.25">
      <c r="A79" s="574"/>
      <c r="B79" s="574"/>
    </row>
    <row customHeight="1" ht="11.25">
      <c r="A80" s="574"/>
      <c r="B80" s="574"/>
    </row>
    <row customHeight="1" ht="11.25">
      <c r="A81" s="574"/>
      <c r="B81" s="574"/>
    </row>
    <row customHeight="1" ht="11.25">
      <c r="A82" s="574"/>
      <c r="B82" s="574"/>
    </row>
    <row customHeight="1" ht="11.25">
      <c r="A83" s="574"/>
      <c r="B83" s="574"/>
    </row>
    <row customHeight="1" ht="11.25">
      <c r="A84" s="574"/>
      <c r="B84" s="574"/>
    </row>
    <row customHeight="1" ht="11.25">
      <c r="A85" s="574"/>
      <c r="B85" s="574"/>
    </row>
    <row customHeight="1" ht="11.25">
      <c r="A86" s="574"/>
      <c r="B86" s="574"/>
    </row>
    <row customHeight="1" ht="11.25">
      <c r="A87" s="574"/>
      <c r="B87" s="574"/>
    </row>
    <row customHeight="1" ht="11.25">
      <c r="A88" s="574"/>
      <c r="B88" s="574"/>
    </row>
    <row customHeight="1" ht="11.25">
      <c r="A89" s="574"/>
      <c r="B89" s="574"/>
    </row>
    <row customHeight="1" ht="11.25">
      <c r="A90" s="574"/>
      <c r="B90" s="574"/>
    </row>
    <row customHeight="1" ht="11.25">
      <c r="A91" s="574"/>
      <c r="B91" s="574"/>
    </row>
    <row customHeight="1" ht="11.25">
      <c r="A92" s="574"/>
      <c r="B92" s="574"/>
    </row>
    <row customHeight="1" ht="11.25">
      <c r="A93" s="574"/>
      <c r="B93" s="574"/>
    </row>
    <row customHeight="1" ht="11.25">
      <c r="A94" s="574"/>
      <c r="B94" s="574"/>
    </row>
    <row customHeight="1" ht="11.25">
      <c r="A95" s="574"/>
      <c r="B95" s="574"/>
    </row>
    <row customHeight="1" ht="11.25">
      <c r="A96" s="574"/>
      <c r="B96" s="574"/>
    </row>
    <row customHeight="1" ht="11.25">
      <c r="A97" s="574"/>
      <c r="B97" s="574"/>
    </row>
    <row customHeight="1" ht="11.25">
      <c r="A98" s="574"/>
      <c r="B98" s="574"/>
    </row>
    <row customHeight="1" ht="11.25">
      <c r="A99" s="574"/>
      <c r="B99" s="574"/>
    </row>
    <row customHeight="1" ht="11.25">
      <c r="A100" s="574"/>
      <c r="B100" s="574"/>
    </row>
    <row customHeight="1" ht="11.25">
      <c r="A101" s="574"/>
      <c r="B101" s="574"/>
    </row>
    <row customHeight="1" ht="11.25">
      <c r="A102" s="574"/>
      <c r="B102" s="574"/>
    </row>
    <row customHeight="1" ht="11.25">
      <c r="A103" s="574"/>
      <c r="B103" s="574"/>
    </row>
    <row customHeight="1" ht="11.25">
      <c r="A104" s="574"/>
      <c r="B104" s="574"/>
    </row>
    <row customHeight="1" ht="11.25">
      <c r="A105" s="574"/>
      <c r="B105" s="574"/>
    </row>
    <row customHeight="1" ht="11.25">
      <c r="A106" s="574"/>
      <c r="B106" s="574"/>
    </row>
    <row customHeight="1" ht="11.25">
      <c r="A107" s="574"/>
      <c r="B107" s="574"/>
    </row>
    <row customHeight="1" ht="11.25">
      <c r="A108" s="574"/>
      <c r="B108" s="574"/>
    </row>
    <row customHeight="1" ht="11.25">
      <c r="A109" s="574"/>
      <c r="B109" s="574"/>
    </row>
    <row customHeight="1" ht="11.25">
      <c r="A110" s="574"/>
      <c r="B110" s="574"/>
    </row>
    <row customHeight="1" ht="11.25">
      <c r="A111" s="574"/>
      <c r="B111" s="574"/>
    </row>
    <row customHeight="1" ht="11.25">
      <c r="A112" s="574"/>
      <c r="B112" s="574"/>
    </row>
    <row customHeight="1" ht="11.25">
      <c r="A113" s="574"/>
      <c r="B113" s="574"/>
    </row>
    <row customHeight="1" ht="11.25">
      <c r="A114" s="574"/>
      <c r="B114" s="574"/>
    </row>
    <row customHeight="1" ht="11.25">
      <c r="A115" s="574"/>
      <c r="B115" s="574"/>
    </row>
    <row customHeight="1" ht="11.25">
      <c r="A116" s="574"/>
      <c r="B116" s="574"/>
    </row>
    <row customHeight="1" ht="11.25">
      <c r="A117" s="574"/>
      <c r="B117" s="574"/>
    </row>
    <row customHeight="1" ht="11.25">
      <c r="A118" s="574"/>
      <c r="B118" s="574"/>
    </row>
    <row customHeight="1" ht="11.25">
      <c r="A119" s="574"/>
      <c r="B119" s="574"/>
    </row>
    <row customHeight="1" ht="11.25">
      <c r="A120" s="574"/>
      <c r="B120" s="574"/>
    </row>
    <row customHeight="1" ht="11.25">
      <c r="A121" s="574"/>
      <c r="B121" s="574"/>
    </row>
    <row customHeight="1" ht="11.25">
      <c r="A122" s="574"/>
      <c r="B122" s="574"/>
    </row>
    <row customHeight="1" ht="11.25">
      <c r="A123" s="574"/>
      <c r="B123" s="574"/>
    </row>
    <row customHeight="1" ht="11.25">
      <c r="A124" s="574"/>
      <c r="B124" s="574"/>
    </row>
    <row customHeight="1" ht="11.25">
      <c r="A125" s="574"/>
      <c r="B125" s="574"/>
    </row>
    <row customHeight="1" ht="11.25">
      <c r="A126" s="574"/>
      <c r="B126" s="574"/>
    </row>
    <row customHeight="1" ht="11.25">
      <c r="A127" s="574"/>
      <c r="B127" s="574"/>
    </row>
    <row customHeight="1" ht="11.25">
      <c r="A128" s="574"/>
      <c r="B128" s="574"/>
    </row>
    <row customHeight="1" ht="11.25">
      <c r="A129" s="574"/>
      <c r="B129" s="574"/>
    </row>
    <row customHeight="1" ht="11.25">
      <c r="A130" s="574"/>
      <c r="B130" s="574"/>
    </row>
    <row customHeight="1" ht="11.25">
      <c r="A131" s="574"/>
      <c r="B131" s="574"/>
    </row>
    <row customHeight="1" ht="11.25">
      <c r="A132" s="574"/>
      <c r="B132" s="574"/>
    </row>
    <row customHeight="1" ht="11.25">
      <c r="A133" s="574"/>
      <c r="B133" s="574"/>
    </row>
    <row customHeight="1" ht="11.25">
      <c r="A134" s="574"/>
      <c r="B134" s="574"/>
    </row>
    <row customHeight="1" ht="11.25">
      <c r="A135" s="574"/>
      <c r="B135" s="574"/>
    </row>
    <row customHeight="1" ht="11.25">
      <c r="A136" s="574"/>
      <c r="B136" s="574"/>
    </row>
    <row customHeight="1" ht="11.25">
      <c r="A137" s="574"/>
      <c r="B137" s="574"/>
    </row>
    <row customHeight="1" ht="11.25">
      <c r="A138" s="574"/>
      <c r="B138" s="574"/>
    </row>
    <row customHeight="1" ht="11.25">
      <c r="A139" s="574"/>
      <c r="B139" s="574"/>
    </row>
    <row customHeight="1" ht="11.25">
      <c r="A140" s="574"/>
      <c r="B140" s="574"/>
    </row>
    <row customHeight="1" ht="11.25">
      <c r="A141" s="574"/>
      <c r="B141" s="574"/>
    </row>
    <row customHeight="1" ht="11.25">
      <c r="A142" s="574"/>
      <c r="B142" s="574"/>
    </row>
    <row customHeight="1" ht="11.25">
      <c r="A143" s="574"/>
      <c r="B143" s="574"/>
    </row>
    <row customHeight="1" ht="11.25">
      <c r="A144" s="574"/>
      <c r="B144" s="574"/>
    </row>
    <row customHeight="1" ht="11.25">
      <c r="A145" s="574"/>
      <c r="B145" s="574"/>
    </row>
    <row customHeight="1" ht="11.25">
      <c r="A146" s="574"/>
      <c r="B146" s="574"/>
    </row>
    <row customHeight="1" ht="11.25">
      <c r="A147" s="574"/>
      <c r="B147" s="574"/>
    </row>
    <row customHeight="1" ht="11.25">
      <c r="A148" s="574"/>
      <c r="B148" s="574"/>
    </row>
    <row customHeight="1" ht="11.25">
      <c r="A149" s="574"/>
      <c r="B149" s="574"/>
    </row>
    <row customHeight="1" ht="11.25">
      <c r="A150" s="574"/>
      <c r="B150" s="574"/>
    </row>
    <row customHeight="1" ht="11.25">
      <c r="A151" s="574"/>
      <c r="B151" s="574"/>
    </row>
    <row customHeight="1" ht="11.25">
      <c r="A152" s="574"/>
      <c r="B152" s="574"/>
    </row>
    <row customHeight="1" ht="11.25">
      <c r="A153" s="574"/>
      <c r="B153" s="574"/>
    </row>
    <row customHeight="1" ht="11.25">
      <c r="A154" s="574"/>
      <c r="B154" s="574"/>
    </row>
    <row customHeight="1" ht="11.25">
      <c r="A155" s="574"/>
      <c r="B155" s="574"/>
    </row>
    <row customHeight="1" ht="11.25">
      <c r="A156" s="574"/>
      <c r="B156" s="574"/>
    </row>
    <row customHeight="1" ht="11.25">
      <c r="A157" s="574"/>
      <c r="B157" s="574"/>
    </row>
    <row customHeight="1" ht="11.25">
      <c r="A158" s="574"/>
      <c r="B158" s="574"/>
    </row>
    <row customHeight="1" ht="11.25">
      <c r="A159" s="574"/>
      <c r="B159" s="574"/>
    </row>
    <row customHeight="1" ht="11.25">
      <c r="A160" s="574"/>
      <c r="B160" s="574"/>
    </row>
    <row customHeight="1" ht="11.25">
      <c r="A161" s="574"/>
      <c r="B161" s="574"/>
    </row>
    <row customHeight="1" ht="11.25">
      <c r="A162" s="574"/>
      <c r="B162" s="574"/>
    </row>
    <row customHeight="1" ht="11.25">
      <c r="A163" s="574"/>
      <c r="B163" s="574"/>
    </row>
    <row customHeight="1" ht="11.25">
      <c r="A164" s="574"/>
      <c r="B164" s="574"/>
    </row>
    <row customHeight="1" ht="11.25">
      <c r="A165" s="574"/>
      <c r="B165" s="574"/>
    </row>
    <row customHeight="1" ht="11.25">
      <c r="A166" s="574"/>
      <c r="B166" s="574"/>
    </row>
    <row customHeight="1" ht="11.25">
      <c r="A167" s="574"/>
      <c r="B167" s="574"/>
    </row>
    <row customHeight="1" ht="11.25">
      <c r="A168" s="574"/>
      <c r="B168" s="574"/>
    </row>
    <row customHeight="1" ht="11.25">
      <c r="A169" s="574"/>
      <c r="B169" s="574"/>
    </row>
    <row customHeight="1" ht="11.25">
      <c r="A170" s="574"/>
      <c r="B170" s="574"/>
    </row>
    <row customHeight="1" ht="11.25">
      <c r="A171" s="574"/>
      <c r="B171" s="574"/>
    </row>
    <row customHeight="1" ht="11.25">
      <c r="A172" s="574"/>
      <c r="B172" s="574"/>
    </row>
    <row customHeight="1" ht="11.25">
      <c r="A173" s="574"/>
      <c r="B173" s="574"/>
    </row>
    <row customHeight="1" ht="11.25">
      <c r="A174" s="574"/>
      <c r="B174" s="574"/>
    </row>
    <row customHeight="1" ht="11.25">
      <c r="A175" s="574"/>
      <c r="B175" s="574"/>
    </row>
    <row customHeight="1" ht="11.25">
      <c r="A176" s="574"/>
      <c r="B176" s="574"/>
    </row>
    <row customHeight="1" ht="11.25">
      <c r="A177" s="574"/>
      <c r="B177" s="574"/>
    </row>
    <row customHeight="1" ht="11.25">
      <c r="A178" s="574"/>
      <c r="B178" s="574"/>
    </row>
    <row customHeight="1" ht="11.25">
      <c r="A179" s="574"/>
      <c r="B179" s="574"/>
    </row>
    <row customHeight="1" ht="11.25">
      <c r="A180" s="574"/>
      <c r="B180" s="574"/>
    </row>
    <row customHeight="1" ht="11.25">
      <c r="A181" s="574"/>
      <c r="B181" s="574"/>
    </row>
    <row customHeight="1" ht="11.25">
      <c r="A182" s="574"/>
      <c r="B182" s="574"/>
    </row>
    <row customHeight="1" ht="11.25">
      <c r="A183" s="574"/>
      <c r="B183" s="574"/>
    </row>
    <row customHeight="1" ht="11.25">
      <c r="A184" s="574"/>
      <c r="B184" s="574"/>
    </row>
    <row customHeight="1" ht="11.25">
      <c r="A185" s="574"/>
      <c r="B185" s="574"/>
    </row>
    <row customHeight="1" ht="11.25">
      <c r="A186" s="574"/>
      <c r="B186" s="574"/>
    </row>
    <row customHeight="1" ht="11.25">
      <c r="A187" s="574"/>
      <c r="B187" s="574"/>
    </row>
    <row customHeight="1" ht="11.25">
      <c r="A188" s="574"/>
      <c r="B188" s="574"/>
    </row>
    <row customHeight="1" ht="11.25">
      <c r="A189" s="574"/>
      <c r="B189" s="574"/>
    </row>
    <row customHeight="1" ht="11.25">
      <c r="A190" s="574"/>
      <c r="B190" s="574"/>
    </row>
    <row customHeight="1" ht="11.25">
      <c r="A191" s="574"/>
      <c r="B191" s="574"/>
    </row>
    <row customHeight="1" ht="11.25">
      <c r="A192" s="574"/>
      <c r="B192" s="574"/>
    </row>
    <row customHeight="1" ht="11.25">
      <c r="A193" s="574"/>
      <c r="B193" s="574"/>
    </row>
    <row customHeight="1" ht="11.25">
      <c r="A194" s="574"/>
      <c r="B194" s="574"/>
    </row>
    <row customHeight="1" ht="11.25">
      <c r="A195" s="574"/>
      <c r="B195" s="574"/>
    </row>
    <row customHeight="1" ht="11.25">
      <c r="A196" s="574"/>
      <c r="B196" s="574"/>
    </row>
    <row customHeight="1" ht="11.25">
      <c r="A197" s="574"/>
      <c r="B197" s="574"/>
    </row>
    <row customHeight="1" ht="11.25">
      <c r="A198" s="574"/>
      <c r="B198" s="574"/>
    </row>
    <row customHeight="1" ht="11.25">
      <c r="A199" s="574"/>
      <c r="B199" s="574"/>
    </row>
    <row customHeight="1" ht="11.25">
      <c r="A200" s="574"/>
      <c r="B200" s="574"/>
    </row>
    <row customHeight="1" ht="11.25">
      <c r="A201" s="574"/>
      <c r="B201" s="574"/>
    </row>
    <row customHeight="1" ht="11.25">
      <c r="A202" s="574"/>
      <c r="B202" s="574"/>
    </row>
    <row customHeight="1" ht="11.25">
      <c r="A203" s="574"/>
      <c r="B203" s="574"/>
    </row>
    <row customHeight="1" ht="11.25">
      <c r="A204" s="574"/>
      <c r="B204" s="574"/>
    </row>
    <row customHeight="1" ht="11.25">
      <c r="A205" s="574"/>
      <c r="B205" s="574"/>
    </row>
    <row customHeight="1" ht="11.25">
      <c r="A206" s="574"/>
      <c r="B206" s="574"/>
    </row>
    <row customHeight="1" ht="11.25">
      <c r="A207" s="574"/>
      <c r="B207" s="574"/>
    </row>
    <row customHeight="1" ht="11.25">
      <c r="A208" s="574"/>
      <c r="B208" s="574"/>
    </row>
    <row customHeight="1" ht="11.25">
      <c r="A209" s="574"/>
      <c r="B209" s="574"/>
    </row>
    <row customHeight="1" ht="11.25">
      <c r="A210" s="574"/>
      <c r="B210" s="574"/>
    </row>
    <row customHeight="1" ht="11.25">
      <c r="A211" s="574"/>
      <c r="B211" s="574"/>
    </row>
    <row customHeight="1" ht="11.25">
      <c r="A212" s="574"/>
      <c r="B212" s="574"/>
    </row>
    <row customHeight="1" ht="11.25">
      <c r="A213" s="574"/>
      <c r="B213" s="574"/>
    </row>
    <row customHeight="1" ht="11.25">
      <c r="A214" s="574"/>
      <c r="B214" s="574"/>
    </row>
    <row customHeight="1" ht="11.25">
      <c r="A215" s="574"/>
      <c r="B215" s="574"/>
    </row>
    <row customHeight="1" ht="11.25">
      <c r="A216" s="574"/>
      <c r="B216" s="574"/>
    </row>
    <row customHeight="1" ht="11.25">
      <c r="A217" s="574"/>
      <c r="B217" s="574"/>
    </row>
    <row customHeight="1" ht="11.25">
      <c r="A218" s="574"/>
      <c r="B218" s="574"/>
    </row>
    <row customHeight="1" ht="11.25">
      <c r="A219" s="574"/>
      <c r="B219" s="574"/>
    </row>
    <row customHeight="1" ht="11.25">
      <c r="A220" s="574"/>
      <c r="B220" s="574"/>
    </row>
    <row customHeight="1" ht="11.25">
      <c r="A221" s="574"/>
      <c r="B221" s="574"/>
    </row>
    <row customHeight="1" ht="11.25">
      <c r="A222" s="574"/>
      <c r="B222" s="574"/>
    </row>
    <row customHeight="1" ht="11.25">
      <c r="A223" s="574"/>
      <c r="B223" s="574"/>
    </row>
    <row customHeight="1" ht="11.25">
      <c r="A224" s="574"/>
      <c r="B224" s="574"/>
    </row>
    <row customHeight="1" ht="11.25">
      <c r="A225" s="574"/>
      <c r="B225" s="574"/>
    </row>
    <row customHeight="1" ht="11.25">
      <c r="A226" s="574"/>
      <c r="B226" s="574"/>
    </row>
    <row customHeight="1" ht="11.25">
      <c r="A227" s="574"/>
      <c r="B227" s="574"/>
    </row>
    <row customHeight="1" ht="11.25">
      <c r="A228" s="574"/>
      <c r="B228" s="574"/>
    </row>
    <row customHeight="1" ht="11.25">
      <c r="A229" s="574"/>
      <c r="B229" s="574"/>
    </row>
    <row customHeight="1" ht="11.25">
      <c r="A230" s="574"/>
      <c r="B230" s="574"/>
    </row>
    <row customHeight="1" ht="11.25">
      <c r="A231" s="574"/>
      <c r="B231" s="574"/>
    </row>
    <row customHeight="1" ht="11.25">
      <c r="A232" s="574"/>
      <c r="B232" s="574"/>
    </row>
    <row customHeight="1" ht="11.25">
      <c r="A233" s="574"/>
      <c r="B233" s="574"/>
    </row>
    <row customHeight="1" ht="11.25">
      <c r="A234" s="574"/>
      <c r="B234" s="574"/>
    </row>
    <row customHeight="1" ht="11.25">
      <c r="A235" s="574"/>
      <c r="B235" s="574"/>
    </row>
    <row customHeight="1" ht="11.25">
      <c r="A236" s="574"/>
      <c r="B236" s="574"/>
    </row>
    <row customHeight="1" ht="11.25">
      <c r="A237" s="574"/>
      <c r="B237" s="574"/>
    </row>
    <row customHeight="1" ht="11.25">
      <c r="A238" s="574"/>
      <c r="B238" s="574"/>
    </row>
    <row customHeight="1" ht="11.25">
      <c r="A239" s="574"/>
      <c r="B239" s="574"/>
    </row>
    <row customHeight="1" ht="11.25">
      <c r="A240" s="574"/>
      <c r="B240" s="574"/>
    </row>
    <row customHeight="1" ht="11.25">
      <c r="A241" s="574"/>
      <c r="B241" s="574"/>
    </row>
    <row customHeight="1" ht="11.25">
      <c r="A242" s="574"/>
      <c r="B242" s="574"/>
    </row>
    <row customHeight="1" ht="11.25">
      <c r="A243" s="574"/>
      <c r="B243" s="574"/>
    </row>
    <row customHeight="1" ht="11.25">
      <c r="A244" s="574"/>
      <c r="B244" s="574"/>
    </row>
    <row customHeight="1" ht="11.25">
      <c r="A245" s="574"/>
      <c r="B245" s="574"/>
    </row>
    <row customHeight="1" ht="11.25">
      <c r="A246" s="574"/>
      <c r="B246" s="574"/>
    </row>
    <row customHeight="1" ht="11.25">
      <c r="A247" s="574"/>
      <c r="B247" s="574"/>
    </row>
    <row customHeight="1" ht="11.25">
      <c r="A248" s="574"/>
      <c r="B248" s="574"/>
    </row>
    <row customHeight="1" ht="11.25">
      <c r="A249" s="574"/>
      <c r="B249" s="574"/>
    </row>
    <row customHeight="1" ht="11.25">
      <c r="A250" s="574"/>
      <c r="B250" s="574"/>
    </row>
    <row customHeight="1" ht="11.25">
      <c r="A251" s="574"/>
      <c r="B251" s="574"/>
    </row>
    <row customHeight="1" ht="11.25">
      <c r="A252" s="574"/>
      <c r="B252" s="574"/>
    </row>
    <row customHeight="1" ht="11.25">
      <c r="A253" s="574"/>
      <c r="B253" s="57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B7616F-03A2-0B96-FBC4-7C5C1D39B9E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50942" width="3.7109375" customWidth="1"/>
    <col min="2" max="2" style="50942" width="90.7109375" customWidth="1"/>
    <col min="3" max="4" style="50942" width="9.140625"/>
  </cols>
  <sheetData>
    <row customHeight="1" ht="11.25">
      <c r="B1" s="605" t="s">
        <v>3796</v>
      </c>
    </row>
    <row customHeight="1" ht="90">
      <c r="B2" s="606" t="s">
        <v>3797</v>
      </c>
    </row>
    <row customHeight="1" ht="67.5">
      <c r="B3" s="606" t="s">
        <v>3798</v>
      </c>
    </row>
    <row customHeight="1" ht="33.75">
      <c r="B4" s="606" t="s">
        <v>3799</v>
      </c>
    </row>
    <row customHeight="1" ht="11.25">
      <c r="B5" s="606" t="s">
        <v>3800</v>
      </c>
    </row>
    <row customHeight="1" ht="22.5">
      <c r="B6" s="606" t="s">
        <v>3801</v>
      </c>
    </row>
    <row customHeight="1" ht="22.5">
      <c r="B7" s="606" t="s">
        <v>3802</v>
      </c>
    </row>
    <row customHeight="1" ht="22.5">
      <c r="B8" s="606" t="s">
        <v>3803</v>
      </c>
    </row>
    <row customHeight="1" ht="22.5">
      <c r="B9" s="606" t="s">
        <v>3804</v>
      </c>
    </row>
    <row customHeight="1" ht="56.25">
      <c r="B10" s="606" t="s">
        <v>3805</v>
      </c>
    </row>
    <row customHeight="1" ht="12.75">
      <c r="B11" s="671" t="s">
        <v>3806</v>
      </c>
    </row>
    <row customHeight="1" ht="11.25">
      <c r="B12" s="605" t="s">
        <v>3807</v>
      </c>
    </row>
    <row customHeight="1" ht="22.5">
      <c r="B13" s="606" t="s">
        <v>3808</v>
      </c>
    </row>
    <row customHeight="1" ht="67.5">
      <c r="B14" s="606" t="s">
        <v>3809</v>
      </c>
    </row>
    <row customHeight="1" ht="22.5">
      <c r="B15" s="606" t="s">
        <v>3810</v>
      </c>
    </row>
    <row customHeight="1" ht="11.25">
      <c r="B16" s="605" t="s">
        <v>3811</v>
      </c>
      <c r="D16" s="612"/>
    </row>
    <row customHeight="1" ht="33.75">
      <c r="B17" s="606" t="s">
        <v>3812</v>
      </c>
    </row>
    <row customHeight="1" ht="33.75">
      <c r="B18" s="606" t="s">
        <v>3813</v>
      </c>
    </row>
    <row customHeight="1" ht="11.25">
      <c r="B19" s="606" t="s">
        <v>3814</v>
      </c>
    </row>
    <row customHeight="1" ht="33.75">
      <c r="B20" s="606" t="s">
        <v>3815</v>
      </c>
    </row>
    <row customHeight="1" ht="11.25">
      <c r="B21" s="605" t="s">
        <v>3816</v>
      </c>
    </row>
    <row customHeight="1" ht="11.25">
      <c r="B22" s="606" t="s">
        <v>3817</v>
      </c>
    </row>
    <row r="24" customHeight="1" ht="22.5">
      <c r="B24" s="673" t="s">
        <v>3818</v>
      </c>
    </row>
    <row r="26" customHeight="1" ht="11.25">
      <c r="B26" s="605" t="s">
        <v>3819</v>
      </c>
    </row>
    <row customHeight="1" ht="22.5">
      <c r="B27" s="672" t="s">
        <v>535</v>
      </c>
    </row>
    <row customHeight="1" ht="56.25">
      <c r="B28" s="672" t="s">
        <v>3820</v>
      </c>
    </row>
    <row customHeight="1" ht="11.25">
      <c r="B29" s="722" t="s">
        <v>3821</v>
      </c>
    </row>
    <row customHeight="1" ht="22.5">
      <c r="B30" s="672" t="s">
        <v>3822</v>
      </c>
    </row>
    <row r="32" customHeight="1" ht="11.25">
      <c r="A32" s="700"/>
      <c r="B32" s="701" t="s">
        <v>3823</v>
      </c>
    </row>
    <row customHeight="1" ht="14.25">
      <c r="A33" s="702">
        <v>1</v>
      </c>
      <c r="B33" s="703" t="s">
        <v>3824</v>
      </c>
    </row>
    <row customHeight="1" ht="14.25">
      <c r="A34" s="702">
        <v>2</v>
      </c>
      <c r="B34" s="703" t="s">
        <v>3825</v>
      </c>
    </row>
    <row customHeight="1" ht="11.25">
      <c r="B35" s="701" t="s">
        <v>3826</v>
      </c>
    </row>
    <row customHeight="1" ht="11.25">
      <c r="B36" s="703" t="s">
        <v>3827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A59D1-52A9-727A-C25A-7792E2AE52E5}"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50765" width="9.140625" hidden="1" customWidth="1"/>
    <col min="2" max="2" style="50801" width="9.140625" hidden="1" customWidth="1"/>
    <col min="3" max="3" style="50980" width="3.00390625" customWidth="1"/>
    <col min="4" max="4" style="50801" width="5.00390625" customWidth="1"/>
    <col min="5" max="5" style="50801" width="38.00390625" customWidth="1"/>
    <col min="6" max="7" style="50801" width="3.00390625" customWidth="1"/>
    <col min="8" max="8" style="50801" width="38.00390625" customWidth="1"/>
    <col min="9" max="9" style="50801" width="35.00390625" customWidth="1"/>
    <col min="10" max="10" style="50801" width="103.00390625" customWidth="1"/>
    <col min="11" max="11" style="50897" width="3.00390625" customWidth="1"/>
    <col min="12" max="14" style="50882" width="10.00390625" customWidth="1"/>
    <col min="15" max="15" style="50882" width="13.00390625" customWidth="1"/>
    <col min="16" max="16" style="50882" width="15.00390625" customWidth="1"/>
    <col min="17" max="17" style="50882" width="16.00390625" customWidth="1"/>
    <col min="18" max="21" style="50882" width="10.00390625" customWidth="1"/>
    <col min="22" max="22" style="50801" width="10.57421875" hidden="1"/>
  </cols>
  <sheetData>
    <row customHeight="1" ht="22.5" hidden="1">
      <c r="E1" s="924"/>
      <c r="F1" s="924"/>
      <c r="G1" s="924"/>
      <c r="H1" s="2729" t="s">
        <v>491</v>
      </c>
      <c r="I1" s="2729"/>
      <c r="V1" s="2119" t="s">
        <v>14</v>
      </c>
    </row>
    <row s="50801" customFormat="1" customHeight="1" ht="14.25" hidden="1">
      <c r="C2" s="2131"/>
      <c r="D2" s="2745" t="s">
        <v>101</v>
      </c>
      <c r="E2" s="2747"/>
      <c r="F2" s="2137"/>
      <c r="G2" s="2132" t="s">
        <v>101</v>
      </c>
      <c r="H2" s="2135"/>
      <c r="I2" s="2133"/>
      <c r="L2" s="2134"/>
      <c r="M2" s="2134"/>
      <c r="N2" s="2134"/>
      <c r="O2" s="2134" t="s">
        <v>521</v>
      </c>
      <c r="P2" s="2134"/>
      <c r="Q2" s="2134"/>
      <c r="R2" s="2136" t="s">
        <v>520</v>
      </c>
      <c r="S2" s="2136" t="s">
        <v>520</v>
      </c>
      <c r="T2" s="2134"/>
      <c r="U2" s="2134"/>
      <c r="V2" s="2130">
        <v>0</v>
      </c>
    </row>
    <row s="50801" customFormat="1" customHeight="1" ht="14.25" hidden="1">
      <c r="C3" s="2131"/>
      <c r="D3" s="2746"/>
      <c r="E3" s="2748"/>
      <c r="F3" s="917"/>
      <c r="G3" s="1381"/>
      <c r="H3" s="1381" t="s">
        <v>522</v>
      </c>
      <c r="I3" s="825"/>
      <c r="L3" s="2134"/>
      <c r="M3" s="2134"/>
      <c r="N3" s="2134"/>
      <c r="O3" s="2134"/>
      <c r="P3" s="2134"/>
      <c r="Q3" s="2134"/>
      <c r="R3" s="2136"/>
      <c r="S3" s="2136"/>
      <c r="T3" s="2134"/>
      <c r="U3" s="2134"/>
      <c r="V3" s="2130">
        <v>0</v>
      </c>
    </row>
    <row customHeight="1" ht="14.25" hidden="1">
      <c r="V4" s="2119">
        <v>0</v>
      </c>
    </row>
    <row s="51523" customFormat="1" customHeight="1" ht="5.25">
      <c r="C5" s="1213"/>
      <c r="D5" s="1214"/>
      <c r="E5" s="1214"/>
      <c r="F5" s="1214"/>
      <c r="G5" s="1214"/>
      <c r="H5" s="1214" t="s">
        <v>495</v>
      </c>
      <c r="I5" s="1214"/>
      <c r="J5" s="1214"/>
      <c r="L5" s="2126"/>
      <c r="M5" s="2126"/>
      <c r="N5" s="2126"/>
      <c r="O5" s="2126"/>
      <c r="P5" s="2126"/>
      <c r="Q5" s="2126"/>
      <c r="R5" s="2126"/>
      <c r="S5" s="2126"/>
      <c r="T5" s="2126"/>
      <c r="U5" s="2126"/>
      <c r="V5" s="2125">
        <v>5</v>
      </c>
    </row>
    <row customHeight="1" ht="29.25">
      <c r="C6" s="2028"/>
      <c r="D6" s="2749" t="s">
        <v>523</v>
      </c>
      <c r="E6" s="2749"/>
      <c r="F6" s="2749"/>
      <c r="G6" s="2749"/>
      <c r="H6" s="2749"/>
      <c r="I6" s="2749"/>
      <c r="J6" s="1003"/>
      <c r="K6" s="2127"/>
      <c r="V6" s="2119">
        <v>28</v>
      </c>
    </row>
    <row customHeight="1" ht="18">
      <c r="C7" s="2028"/>
      <c r="D7" s="2688" t="str">
        <f>IF(org=0,"Не определено",org)</f>
        <v>КГУП "Примтеплоэнерго"</v>
      </c>
      <c r="E7" s="2688"/>
      <c r="F7" s="2688"/>
      <c r="G7" s="2688"/>
      <c r="H7" s="2688"/>
      <c r="I7" s="2688"/>
      <c r="J7" s="1003"/>
      <c r="K7" s="2127"/>
      <c r="V7" s="2119">
        <v>17</v>
      </c>
    </row>
    <row s="50776" customFormat="1" customHeight="1" ht="5.25">
      <c r="A8" s="2123"/>
      <c r="C8" s="998"/>
      <c r="D8" s="997"/>
      <c r="E8" s="997"/>
      <c r="F8" s="997"/>
      <c r="G8" s="997"/>
      <c r="H8" s="997"/>
      <c r="I8" s="997"/>
      <c r="J8" s="997"/>
      <c r="L8" s="2126"/>
      <c r="M8" s="2126"/>
      <c r="N8" s="2126"/>
      <c r="O8" s="2126"/>
      <c r="P8" s="2126"/>
      <c r="Q8" s="2126"/>
      <c r="R8" s="2126"/>
      <c r="S8" s="2126"/>
      <c r="T8" s="2126"/>
      <c r="U8" s="2126"/>
      <c r="V8" s="2124">
        <v>5</v>
      </c>
    </row>
    <row s="50776" customFormat="1" customHeight="1" ht="5.25">
      <c r="A9" s="2123"/>
      <c r="C9" s="998"/>
      <c r="D9" s="997"/>
      <c r="E9" s="997"/>
      <c r="F9" s="997"/>
      <c r="G9" s="997"/>
      <c r="H9" s="997"/>
      <c r="I9" s="997"/>
      <c r="J9" s="997"/>
      <c r="L9" s="2134"/>
      <c r="M9" s="2134"/>
      <c r="N9" s="2134"/>
      <c r="O9" s="2134"/>
      <c r="P9" s="2134"/>
      <c r="Q9" s="2134"/>
      <c r="R9" s="2134"/>
      <c r="S9" s="2134"/>
      <c r="T9" s="2134"/>
      <c r="U9" s="2134"/>
      <c r="V9" s="2124">
        <v>5</v>
      </c>
    </row>
    <row customHeight="1" ht="14.699999999999998">
      <c r="C10" s="2028"/>
      <c r="D10" s="2730" t="s">
        <v>439</v>
      </c>
      <c r="E10" s="2731"/>
      <c r="F10" s="2731"/>
      <c r="G10" s="2731"/>
      <c r="H10" s="2731"/>
      <c r="I10" s="2731"/>
      <c r="J10" s="2735" t="s">
        <v>440</v>
      </c>
      <c r="V10" s="2119">
        <v>14</v>
      </c>
    </row>
    <row customHeight="1" ht="27.299999999999997">
      <c r="C11" s="2028"/>
      <c r="D11" s="2639" t="s">
        <v>90</v>
      </c>
      <c r="E11" s="2735" t="s">
        <v>175</v>
      </c>
      <c r="F11" s="2704" t="s">
        <v>90</v>
      </c>
      <c r="G11" s="2705"/>
      <c r="H11" s="2687" t="s">
        <v>524</v>
      </c>
      <c r="I11" s="2687" t="s">
        <v>525</v>
      </c>
      <c r="J11" s="2735"/>
      <c r="V11" s="2119">
        <v>26</v>
      </c>
    </row>
    <row customHeight="1" ht="14.699999999999998">
      <c r="C12" s="2028"/>
      <c r="D12" s="2639"/>
      <c r="E12" s="2735"/>
      <c r="F12" s="2712"/>
      <c r="G12" s="2713"/>
      <c r="H12" s="2744"/>
      <c r="I12" s="2744"/>
      <c r="J12" s="2735"/>
      <c r="V12" s="2119">
        <v>14</v>
      </c>
    </row>
    <row s="51564" customFormat="1" customHeight="1" ht="11.25" hidden="1">
      <c r="C13" s="1010"/>
      <c r="D13" s="1011" t="s">
        <v>515</v>
      </c>
      <c r="E13" s="1011"/>
      <c r="F13" s="1011"/>
      <c r="G13" s="1011"/>
      <c r="H13" s="1009"/>
      <c r="I13" s="1009"/>
      <c r="J13" s="947"/>
      <c r="L13" s="2126"/>
      <c r="M13" s="2126"/>
      <c r="N13" s="2126"/>
      <c r="O13" s="2126"/>
      <c r="P13" s="2126"/>
      <c r="Q13" s="2126"/>
      <c r="R13" s="2126"/>
      <c r="S13" s="2126"/>
      <c r="T13" s="2126"/>
      <c r="U13" s="2126"/>
      <c r="V13" s="1008">
        <v>0</v>
      </c>
    </row>
    <row customHeight="1" ht="14.699999999999998">
      <c r="A14" s="2119"/>
      <c r="C14" s="2028"/>
      <c r="D14" s="2745" t="s">
        <v>101</v>
      </c>
      <c r="E14" s="2747"/>
      <c r="F14" s="2129"/>
      <c r="G14" s="2128" t="s">
        <v>101</v>
      </c>
      <c r="H14" s="2135"/>
      <c r="I14" s="2133"/>
      <c r="J14" s="2681" t="s">
        <v>526</v>
      </c>
      <c r="K14" s="2119"/>
      <c r="R14" s="1012" t="s">
        <v>520</v>
      </c>
      <c r="S14" s="1012" t="s">
        <v>520</v>
      </c>
      <c r="V14" s="2119">
        <v>14</v>
      </c>
    </row>
    <row customHeight="1" ht="14.699999999999998">
      <c r="A15" s="2119"/>
      <c r="C15" s="2028"/>
      <c r="D15" s="2746"/>
      <c r="E15" s="2748"/>
      <c r="F15" s="917"/>
      <c r="G15" s="1381"/>
      <c r="H15" s="1381" t="s">
        <v>522</v>
      </c>
      <c r="I15" s="825"/>
      <c r="J15" s="2682"/>
      <c r="K15" s="2119"/>
      <c r="R15" s="1012"/>
      <c r="S15" s="1012"/>
      <c r="V15" s="2119">
        <v>14</v>
      </c>
    </row>
    <row customHeight="1" ht="14.699999999999998">
      <c r="A16" s="2119"/>
      <c r="C16" s="2028"/>
      <c r="D16" s="917"/>
      <c r="E16" s="1381" t="s">
        <v>187</v>
      </c>
      <c r="F16" s="825"/>
      <c r="G16" s="825"/>
      <c r="H16" s="918"/>
      <c r="I16" s="918"/>
      <c r="J16" s="2683"/>
      <c r="K16" s="2119"/>
      <c r="V16" s="2119">
        <v>14</v>
      </c>
    </row>
    <row customHeight="1" ht="14.699999999999998">
      <c r="K17" s="2119"/>
      <c r="V17" s="2119">
        <v>14</v>
      </c>
    </row>
    <row customHeight="1" ht="22.5" hidden="1">
      <c r="A18" s="2120" t="s">
        <v>84</v>
      </c>
      <c r="B18" s="2119">
        <v>0</v>
      </c>
      <c r="C18" s="963">
        <v>3</v>
      </c>
      <c r="D18" s="2119">
        <v>5</v>
      </c>
      <c r="E18" s="2119">
        <v>38</v>
      </c>
      <c r="F18" s="2119">
        <v>3</v>
      </c>
      <c r="G18" s="2119">
        <v>3</v>
      </c>
      <c r="H18" s="2119">
        <v>38</v>
      </c>
      <c r="I18" s="2119">
        <v>35</v>
      </c>
      <c r="J18" s="2119">
        <v>103</v>
      </c>
      <c r="K18" s="2121">
        <v>3</v>
      </c>
      <c r="L18" s="2126">
        <v>10</v>
      </c>
      <c r="M18" s="2126">
        <v>10</v>
      </c>
      <c r="N18" s="2126">
        <v>10</v>
      </c>
      <c r="O18" s="2126">
        <v>13</v>
      </c>
      <c r="P18" s="2126">
        <v>15</v>
      </c>
      <c r="Q18" s="2126">
        <v>16</v>
      </c>
      <c r="R18" s="2126">
        <v>10</v>
      </c>
      <c r="S18" s="2126">
        <v>10</v>
      </c>
      <c r="T18" s="2126">
        <v>10</v>
      </c>
      <c r="U18" s="2126">
        <v>10</v>
      </c>
      <c r="V18" s="211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